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bookViews>
    <workbookView xWindow="-110" yWindow="-110" windowWidth="19420" windowHeight="11020" tabRatio="813" activeTab="3"/>
  </bookViews>
  <sheets>
    <sheet name="Instructions" sheetId="15" r:id="rId1"/>
    <sheet name="PAAR UPDATE" sheetId="1" r:id="rId2"/>
    <sheet name="allocToParrUQD" sheetId="14" state="veryHidden" r:id="rId3"/>
    <sheet name="Заявка PAAR СКК- Секв+БК+2G" sheetId="20" r:id="rId4"/>
    <sheet name="Previously-approved PAAR" sheetId="13" state="hidden" r:id="rId5"/>
    <sheet name="PaarLineToUpsert" sheetId="11" state="veryHidden" r:id="rId6"/>
    <sheet name="Existing PAARLIne" sheetId="12" state="veryHidden" r:id="rId7"/>
    <sheet name="Setup" sheetId="8" state="veryHidden" r:id="rId8"/>
    <sheet name="Add Info-Info Supp-Info Ad" sheetId="3" state="veryHidden" r:id="rId9"/>
    <sheet name="Modules" sheetId="6" state="veryHidden" r:id="rId10"/>
    <sheet name="Interventions" sheetId="9" state="veryHidden" r:id="rId11"/>
    <sheet name="PAAR (EN)" sheetId="4" state="veryHidden" r:id="rId12"/>
    <sheet name="Additional Info (EN)" sheetId="5" state="veryHidden" r:id="rId13"/>
    <sheet name="Dropdown Data" sheetId="2" state="veryHidden" r:id="rId14"/>
    <sheet name="VersionHistory" sheetId="16" state="veryHidden" r:id="rId15"/>
    <sheet name="apttusmetadata" sheetId="7" state="veryHidden" r:id="rId16"/>
  </sheets>
  <definedNames>
    <definedName name="_02ad39f3_57e3_49df_801f_0b57a1bdfb84">Modules!$H$11</definedName>
    <definedName name="_02bdc5b6_f405_4455_84ca_aac645fac99a">Modules!$D$3:$D$4</definedName>
    <definedName name="_047ad507_0de5_47bb_939e_d5a1ca1cadd0">#REF!</definedName>
    <definedName name="_04ef951b_83dc_454c_a580_d68bc3649c8f">allocToParrUQD!$E$2</definedName>
    <definedName name="_0545eb13_c995_464b_b8dd_0e97683d3487" comment="Display Map">allocToParrUQD!$A$1:$M$4</definedName>
    <definedName name="_0591a0b2_8a8a_4305_8643_1ab20a3c479a">#REF!</definedName>
    <definedName name="_070ce615_3123_48d1_bc3c_f8a3210e81c9">#REF!</definedName>
    <definedName name="_07cdb7f5_cc90_48f5_ba98_1b10e955b710">allocToParrUQD!$K$1:$O$1</definedName>
    <definedName name="_09ebd902_8633_49ee_8213_ebb31719aa20">#REF!</definedName>
    <definedName name="_0aba1aad_a2db_4f91_bf15_fb17938568c4">Modules!$A$37:$B$37</definedName>
    <definedName name="_0b156c7e_5d2f_4042_9bc9_55e6ef8d1f9e">Modules!$D$2</definedName>
    <definedName name="_0d474f16_35ba_4d92_afba_4a57661e931b">#REF!</definedName>
    <definedName name="_100e0d0a_853d_42fd_ac33_2c0488ef7758">Modules!$A$11:$B$11</definedName>
    <definedName name="_108f5ad8_7393_426d_9f7c_bae12068cdd8">PaarLineToUpsert!$B$1</definedName>
    <definedName name="_11e51280_46f6_49b8_9413_4a58d3ff956b">allocToParrUQD!$K$1:$K$5</definedName>
    <definedName name="_1380a560_8917_4a6c_8643_5eaf67a107ec">'PAAR UPDATE'!$P$29:$P$257</definedName>
    <definedName name="_15169a1d_6dee_4e01_a4ae_ce057e32583e" comment="Display Map">'Previously-approved PAAR'!$A$9:$G$24</definedName>
    <definedName name="_188d0fc7_aedf_4716_8099_512eed679ba2">'Previously-approved PAAR'!$F$10</definedName>
    <definedName name="_1a4d39fd_40f7_4788_ade0_929f28c2fcba">#REF!</definedName>
    <definedName name="_1a6aa60f_83f5_4860_9796_3ffdcb722dbf">Modules!$G$6</definedName>
    <definedName name="_1d959eb1_25e0_459c_be70_75087b3e8e5c">Modules!$D$4</definedName>
    <definedName name="_1e83f210_e875_4af6_91e5_ac9c698a0120">Modules!$D$3</definedName>
    <definedName name="_200601b2_d857_4b7b_b9c8_b4b1dcfdbead">Modules!$B$4</definedName>
    <definedName name="_22bfb72b_4ec8_42f9_aba0_ddfc7388dd07">#REF!</definedName>
    <definedName name="_246c9ece_37cf_4f3d_bb58_d0705dabf0a1">Interventions!$B$12</definedName>
    <definedName name="_289c0037_5b16_4880_9d93_e5e936bed1d1">allocToParrUQD!$M$2</definedName>
    <definedName name="_2a721706_e90e_49c0_9b1b_9fe9a5604342" comment="Display Map">PaarLineToUpsert!$A$1:$AB$1</definedName>
    <definedName name="_2ae3dd59_dc6c_4c4b_ade6_2ebeb2266db0">allocToParrUQD!$K$5</definedName>
    <definedName name="_2c486d2c_37c1_41e6_8a2a_5b846cc4b116">#REF!</definedName>
    <definedName name="_2d6d22aa_6ffc_4e44_94e1_6b9135bdbe35">#REF!</definedName>
    <definedName name="_2d92d753_f6bf_4a5c_b057_9dc6f5816fb7">PaarLineToUpsert!$F$1</definedName>
    <definedName name="_2dddad7c_920f_483c_8ae8_4807bb29d23c">allocToParrUQD!$I$2</definedName>
    <definedName name="_2e0733e5_9f9a_4068_8140_d34067ae9602">PaarLineToUpsert!$V$1</definedName>
    <definedName name="_2f6b97be_955e_4555_b176_24eda76d7f6e">Modules!$D$3:$E$3</definedName>
    <definedName name="_30b766c5_e64e_40ec_bdaf_9d7859640839">Modules!$H$8</definedName>
    <definedName name="_36f9532d_a51f_4081_9b33_d12464ae83b3">PaarLineToUpsert!$T$1</definedName>
    <definedName name="_37f5b219_b7be_4068_92cf_9912ba353f53" comment="Display Map">Modules!$A$10:$K$24</definedName>
    <definedName name="_39458981_54f6_4afa_ad0b_1abb0155050c">Modules!$B$3</definedName>
    <definedName name="_3a17e598_913f_4164_9970_95748140b3f3">Modules!$A$11:$A$37</definedName>
    <definedName name="_3bced8e2_f8b6_4fbd_833e_c9cd21a3bbd8">Modules!$D$8</definedName>
    <definedName name="_3da31b3c_25c5_48fa_bc78_7a7c0afe5068">#REF!</definedName>
    <definedName name="_3ed08b87_0856_47c6_ac1b_a0f75fac0829">'Existing PAARLIne'!$B$1</definedName>
    <definedName name="_3fd2dad0_2e45_4582_9f0a_ecae4fdadda5">allocToParrUQD!$A$5:$A$9</definedName>
    <definedName name="_4165c931_ccea_48b3_b6b8_b79823fbb780">Modules!$A$37:$A$38</definedName>
    <definedName name="_42f04d30_cada_454c_b1b6_632a2aba90a2">Modules!$C$11:$C$213</definedName>
    <definedName name="_43011b08_5bec_4974_8f93_a93601785563">Modules!$H$4:$P$4</definedName>
    <definedName name="_43f42dc0_b49b_49bb_adf2_ff4aa3aeb9af">Modules!$A$11</definedName>
    <definedName name="_4674e4d5_5bf9_49ef_89e0_66eecaf67bfc">'Existing PAARLIne'!$G$1</definedName>
    <definedName name="_47248bf4_333e_4cf5_ab12_1664f6307394">Modules!$H$4</definedName>
    <definedName name="_4a727fc1_5e00_4dd2_9a4e_d4dba8c0d0a9">Modules!$A$26</definedName>
    <definedName name="_4a840919_0905_4a1f_b4c7_fac45d99a9b3">PaarLineToUpsert!$R$1</definedName>
    <definedName name="_4b24e5b2_178d_402d_ab3b_3e9651c49950">Setup!$B$6</definedName>
    <definedName name="_4b6deeee_22f4_4978_af46_2f3f3b997083">PaarLineToUpsert!$E$1</definedName>
    <definedName name="_4bdaa627_e613_4884_884e_9af563e81977">Interventions!$G$12</definedName>
    <definedName name="_4f08970c_42cb_4ebb_9187_2fcef9339c76">'PAAR UPDATE'!$T$112</definedName>
    <definedName name="_4fc3fe53_b70d_4dee_8a8f_66a3f0db60b5">Modules!$F$8</definedName>
    <definedName name="_4fcd4c75_0cb5_47e0_80dc_d4dc6d52d7ab">Modules!$F$11</definedName>
    <definedName name="_5013a811_34db_4302_a794_6cb432e51faa">Modules!$H$6</definedName>
    <definedName name="_514f35f9_1e87_4a11_ae79_17984f0da986">Interventions!$F$12</definedName>
    <definedName name="_5ac26222_addb_4436_bad3_43781c024c3c">#REF!</definedName>
    <definedName name="_5af35f97_4d7e_4e31_a529_293afd51e986">Modules!$C$7</definedName>
    <definedName name="_5c2decfc_19a2_4428_8964_baa83343b66f">Modules!$D$5</definedName>
    <definedName name="_60f1fa00_ddc3_47b5_add8_ba82f0742fda">allocToParrUQD!$C$5</definedName>
    <definedName name="_616a9b6c_adcb_465e_9d12_aece5062f9ff">Modules!$B$7</definedName>
    <definedName name="_63d4057e_27e2_4bb3_81b8_3580bd4ea6bb">allocToParrUQD!$K$1:$K$6</definedName>
    <definedName name="_6400defa_3aea_4fde_b8a0_4291fadead98">PaarLineToUpsert!$P$1</definedName>
    <definedName name="_64dc2789_b7b2_449e_992a_7a5cefa1232a">#REF!</definedName>
    <definedName name="_6a4d5129_3c60_4b5c_99fa_99f187281ae6">'PAAR UPDATE'!$O$29:$O$257</definedName>
    <definedName name="_6b76211a_eb2f_4df6_bf55_05a614445cfb">#REF!</definedName>
    <definedName name="_6b9feab1_8a4e_4def_b9ea_d11b120def49">'PAAR UPDATE'!$P$30:$P$257</definedName>
    <definedName name="_6c64e49b_420c_49d6_91eb_6f53bed8c310">PaarLineToUpsert!$A$1</definedName>
    <definedName name="_6dc44a77_45e7_49e5_812b_475ed3e55a07">#REF!</definedName>
    <definedName name="_6e9e8a39_dee3_4e13_9c38_382ac0b3a8d9">#REF!</definedName>
    <definedName name="_6edcd5c2_b1a7_435d_bc7e_c94e860cf9c1">'Previously-approved PAAR'!$E$10</definedName>
    <definedName name="_6fab634e_ba2b_4907_88c0_020129f5d1d5">Modules!$G$4:$O$4</definedName>
    <definedName name="_717cb255_4973_453d_b474_460dff8bc294">'Previously-approved PAAR'!$C$10</definedName>
    <definedName name="_720d31b9_1eed_4b0b_9a73_79810b734349">PaarLineToUpsert!$J$1</definedName>
    <definedName name="_735757ee_ca56_403a_ba6d_821953adfaa1">Interventions!$J$12</definedName>
    <definedName name="_73f03a02_08ee_43fe_bf22_aec38a69449f">#REF!</definedName>
    <definedName name="_741fd775_1b0f_416a_83ee_9dcaf9e52ab0">'Previously-approved PAAR'!$B$10</definedName>
    <definedName name="_750d0979_8201_4bdb_9f68_c45e23c8264f">PaarLineToUpsert!$AB$1</definedName>
    <definedName name="_76895d3d_8612_4598_992e_68a7a3b1bec0">'Existing PAARLIne'!$C$1</definedName>
    <definedName name="_77efa5dd_9430_4266_9106_060c94e3525f">Modules!$D$7</definedName>
    <definedName name="_7a562672_c8d1_41e4_bf25_f7d9bc7e9bf2">allocToParrUQD!$A$2</definedName>
    <definedName name="_7dc9defe_4e0f_4960_a4cf_021864e4dc1e">Modules!$B$29</definedName>
    <definedName name="_7fe5b4be_0857_48d4_9b68_a20b705567da">allocToParrUQD!$O$1</definedName>
    <definedName name="_812dedd1_2c6c_4c44_8c10_33ccc07a0874">#REF!</definedName>
    <definedName name="_83b4b2b1_91da_4273_bb28_92579fd58b98" comment="Display Map">'Existing PAARLIne'!$A$1:$G$1</definedName>
    <definedName name="_84984d1d_8bf1_4813_b6d8_a3beceb5352e">Modules!$F$8</definedName>
    <definedName name="_84f4f1c9_46d9_4d50_a578_70a0e140218e">Interventions!$I$12</definedName>
    <definedName name="_8668f1ea_7a98_4214_b9e4_bd9a35b01667">allocToParrUQD!$F$2</definedName>
    <definedName name="_8a19c987_bb5e_4dd5_b228_3f858988819f">Modules!$D$11:$D$213</definedName>
    <definedName name="_8a4875f0_12c9_4b27_9d65_fc9de4040357">Modules!$G$11</definedName>
    <definedName name="_8f344467_b212_4f30_865e_c1a9a47a40bc">Setup!#REF!</definedName>
    <definedName name="_90e46fc3_f809_4552_b375_91a622371daf">#REF!</definedName>
    <definedName name="_918a627d_c186_4f72_bf4a_f212e91e3447">allocToParrUQD!$K$1:$K$2</definedName>
    <definedName name="_921188b5_7405_4616_9a10_f06390bbc5cb">allocToParrUQD!$J$2</definedName>
    <definedName name="_9304c1bc_2668_4278_9e71_ddc6244bac56">#REF!</definedName>
    <definedName name="_94903140_df63_4838_b151_057f4b07305d">'Existing PAARLIne'!$A$1</definedName>
    <definedName name="_955d5dfa_899b_4044_bb68_9f852088faad">Modules!$C$11</definedName>
    <definedName name="_98683e66_00c0_4421_8d8e_08e5bd010020">PaarLineToUpsert!$G$1</definedName>
    <definedName name="_98e9a85d_eea9_4a6f_9d7b_2208ff60b346">Interventions!$K$12</definedName>
    <definedName name="_9b0aea09_c499_4d7e_a90a_f783e6dd513f">allocToParrUQD!$C$2</definedName>
    <definedName name="_9b1a1afa_6ff0_4b63_99c7_81e1448db497">Interventions!$C$12</definedName>
    <definedName name="_9b3115f5_cfe6_4bf4_9e68_fcae46eadcdc">allocToParrUQD!$A$5:$A$12</definedName>
    <definedName name="_9ba6467f_1a3c_46cc_8b00_e1d278f76930">#REF!</definedName>
    <definedName name="_9da8dd00_1f7a_4f7b_a91f_078e0576ce12">#REF!</definedName>
    <definedName name="_9dca9c75_8637_4106_a7b1_ad0381862a53">Modules!$B$11:$B$213</definedName>
    <definedName name="_9e96ca77_1790_44ec_a8d5_50df6a1f7de2">#REF!</definedName>
    <definedName name="_9fab802b_0c12_4609_9f3c_8910b7c9e5c8">Modules!$B$6</definedName>
    <definedName name="_a43baf49_2cab_47a7_942c_32e23098d58a">'Previously-approved PAAR'!$G$10</definedName>
    <definedName name="_a4dfd19b_fdd0_42da_b0cc_554867fbfe15">#REF!</definedName>
    <definedName name="_a675865b_d1cf_41a8_b436_12dfc45ca429">Modules!$H$3</definedName>
    <definedName name="_ae238f09_06b7_4710_962a_a5f6a9de8456">Modules!$H$3:$P$3</definedName>
    <definedName name="_af5011ab_4e53_4d71_affa_123aefec96be">#REF!</definedName>
    <definedName name="_b08a4c41_6e06_41b4_8de7_d7d4c4a5b0d0">Modules!$B$11:$B$37</definedName>
    <definedName name="_b38a91dd_21e5_477d_8fa2_6dc4a4571988">'Previously-approved PAAR'!$D$10</definedName>
    <definedName name="_b49f5148_45f2_4444_969f_cb60a476e6aa">Modules!$D$4:$E$4</definedName>
    <definedName name="_b6a4f94b_ee15_4a63_8b89_d8440a33b91b">#REF!</definedName>
    <definedName name="_b6ad26c4_c22b_486c_a0d2_48db1684e9a9">allocToParrUQD!$K$2</definedName>
    <definedName name="_b6c384da_2b85_434d_aeaa_fc47355d751b">allocToParrUQD!$L$2</definedName>
    <definedName name="_b8f2278a_3ec8_4112_a3eb_25ec845c7165">#REF!</definedName>
    <definedName name="_bd1a71fb_21a6_4736_8941_5128f28a0c38">Modules!$B$2</definedName>
    <definedName name="_bd1abbce_c068_4c81_9587_6cb91d40b759">allocToParrUQD!$G$2</definedName>
    <definedName name="_c33428e4_6095_46db_b4fd_df3facaf1c60">Modules!$C$37</definedName>
    <definedName name="_c42e2362_c27a_4990_84c5_bf06079e3898">Modules!$A$37</definedName>
    <definedName name="_c4b1b70f_1237_4bc6_aac4_6ff4977dfc62">'Existing PAARLIne'!$F$1</definedName>
    <definedName name="_c5cff771_23ab_44f7_9663_1de9c3739a86" comment="Save Map">#REF!</definedName>
    <definedName name="_c9664df9_e97a_4318_86a8_6d4750051178">allocToParrUQD!$K$2:$K$5</definedName>
    <definedName name="_d0064c2b_0aeb_4816_8653_31fa97b5d2d5">#REF!</definedName>
    <definedName name="_d5b554a5_3731_48ea_93b6_8db7689f1201">#REF!</definedName>
    <definedName name="_d60c1176_8250_4608_ba63_a3aa2999088d" comment="Display Map">Interventions!$B$11:$N$77</definedName>
    <definedName name="_d63421ee_7ebb_4124_8330_e547bc2c5c23">Modules!$K$11</definedName>
    <definedName name="_db4b1b89_8651_496d_8cb6_16c45a5d864e">#REF!</definedName>
    <definedName name="_de3967e1_2b2e_451c_abbe_d2298ae10aba">'Previously-approved PAAR'!$A$10</definedName>
    <definedName name="_dfdd069c_10df_4b39_b965_c3296140e6ef">#REF!</definedName>
    <definedName name="_e25ecbd0_9feb_4e3e_9eba_16e28d17c524">PaarLineToUpsert!$C$1</definedName>
    <definedName name="_e45597d6_9c00_43b4_ae77_a14c81a0440d">#REF!</definedName>
    <definedName name="_e4c8271d_d40f_4888_afea_cbecb5fefcf5">#REF!</definedName>
    <definedName name="_e61f5e65_2380_4c24_a2fc_986f3a3bdaa3">PaarLineToUpsert!$D$1</definedName>
    <definedName name="_e7531f29_fe42_42f2_b46f_bfe48c63b6bb">Modules!$D$6</definedName>
    <definedName name="_e7d4b179_9104_4315_9a8a_c820e3a6689e">#REF!</definedName>
    <definedName name="_f09abc7b_086f_41b9_8092_d1eb44292a7c">Modules!$H$8</definedName>
    <definedName name="_f286ecd9_5053_4e73_b002_325ea2e11a14">PaarLineToUpsert!$L$1</definedName>
    <definedName name="_f2dae54b_472d_4b49_a275_1f8b06473771">allocToParrUQD!$B$2</definedName>
    <definedName name="_f6b2f159_6c81_4d6a_82a6_2d671899269c">Modules!$D$11</definedName>
    <definedName name="_fcb0a822_ddff_4280_a0bf_4334a6e3465f">PaarLineToUpsert!$O$1</definedName>
    <definedName name="_fd0e959c_055e_445a_a66e_e32084dd253f">Interventions!$N$12</definedName>
    <definedName name="_fdf7b301_6e00_4693_8bcf_9ec7adc9c251">'PAAR UPDATE'!$T$113</definedName>
    <definedName name="_ffcb7369_0e6a_488d_b74d_d05766e525a6">PaarLineToUpsert!$H$1</definedName>
    <definedName name="_xlnm._FilterDatabase" localSheetId="9" hidden="1">Modules!$C$10:$C$43</definedName>
    <definedName name="ADD_Intervention">OFFSET('Dropdown Data'!$P$6,MATCH(1,('Dropdown Data'!$N$7:$N$580='PAAR UPDATE'!$B$10)*('Dropdown Data'!$O$7:$O$580='Add Info-Info Supp-Info Ad'!$A1),0),0,COUNTIFS('Dropdown Data'!$N$7:$N$580,'PAAR UPDATE'!$B$10,'Dropdown Data'!$O$7:$O$580,'Add Info-Info Supp-Info Ad'!$A1),1)</definedName>
    <definedName name="AIM_Allocation_Cycle__c.AIM_Status__c">apttusmetadata!$AF$2:$AF$3</definedName>
    <definedName name="AIM_Funding_Request__c.AIM_Funding_Request_Currency__c">apttusmetadata!$AA$2:$AA$160</definedName>
    <definedName name="AIM_Funding_Request__c.AIM_TRP_Review_Outcome__c">apttusmetadata!$AB$2:$AB$4</definedName>
    <definedName name="Applicant_Priority_Rating">OFFSET('PAAR UPDATE'!$A27,-COUNTA('Existing PAARLIne'!$B$1:B120),)</definedName>
    <definedName name="Brief_Rationale">OFFSET('PAAR UPDATE'!$H27,-COUNTA('Existing PAARLIne'!$B$1:B120),)</definedName>
    <definedName name="external_ID">OFFSET('PAAR UPDATE'!$O27,-moveReference,)</definedName>
    <definedName name="Intervention">OFFSET('Dropdown Data'!$P$6,MATCH(1,('Dropdown Data'!$N$7:$N$580='PAAR UPDATE'!$B$10)*('Dropdown Data'!$O$7:$O$580='PAAR UPDATE'!$B1),0),0,COUNTIFS('Dropdown Data'!$N$7:$N$580,'PAAR UPDATE'!$B$10,'Dropdown Data'!$O$7:$O$580,'PAAR UPDATE'!$B1),1)</definedName>
    <definedName name="InterventionNameList">Interventions!$M$78:INDEX(Interventions!$M$78:$M$989,SUMPRODUCT(--(Interventions!$M$78:$M$989&lt;&gt;"")))</definedName>
    <definedName name="InterventionsDependentList">INDIRECT("Interventions!E"&amp;'PAAR UPDATE'!T1 &amp; ":E" &amp;'PAAR UPDATE'!U1)</definedName>
    <definedName name="InterventionsTranslate">IF('PAAR UPDATE'!$B$10 = 'Dropdown Data'!$F$7,Interventions!$B1,IF('PAAR UPDATE'!$B$10 = 'Dropdown Data'!$F$10,Interventions!$I1,IF('PAAR UPDATE'!$B$10 = 'Dropdown Data'!$F$13,Interventions!$J1,"")))</definedName>
    <definedName name="L1FR_PAAR_UQD_Intervention__c.L1FR_Applicant_Priority_Rating__c">apttusmetadata!$AD$2:$AD$4</definedName>
    <definedName name="L1FR_PAAR_UQD_Intervention__c.L1FR_Status__c">apttusmetadata!$AE$2:$AE$6</definedName>
    <definedName name="L1FR_PAAR_UQD_Intervention__c.L1FR_TRP_Priority__c">apttusmetadata!$AC$2:$AC$5</definedName>
    <definedName name="list">#REF!</definedName>
    <definedName name="Module">OFFSET('Dropdown Data'!$L$6,MATCH(1,('Dropdown Data'!$J$7:$J$322='PAAR UPDATE'!$B$10)*('Dropdown Data'!$K$7:$K$322='PAAR UPDATE'!$B$14),0),0,COUNTIFS('Dropdown Data'!$J$7:$J$322,'PAAR UPDATE'!$B$10,'Dropdown Data'!$K$7:$K$322,'PAAR UPDATE'!$B$14),1)</definedName>
    <definedName name="ModuleNameList">Modules!$I$11:INDEX(Modules!$I$11:$I$25,SUMPRODUCT(--(Modules!$I$11:$I$25&lt;&gt;"")))</definedName>
    <definedName name="moveReference">COUNTA('Existing PAARLIne'!$B$1:B120)</definedName>
    <definedName name="PICKLISTKEYVALUEPAIR">apttusmetadata!$Y$1:$Z$2</definedName>
    <definedName name="Record_ID">VLOOKUP(OFFSET('PAAR UPDATE'!$O27,-moveReference,),'Existing PAARLIne'!XEZ:XFB,2,0)</definedName>
    <definedName name="TranslatemoduleName">IF('PAAR UPDATE'!$B$10 = 'Dropdown Data'!$F$7,Modules!$E1,IF('PAAR UPDATE'!$B$10 = 'Dropdown Data'!$F$10,Modules!$F1,IF('PAAR UPDATE'!$B$10 = 'Dropdown Data'!$F$13,Modules!$G1,"")))</definedName>
    <definedName name="Translation__Brief_Rationale">OFFSET('PAAR UPDATE'!$I27,-moveReference,)</definedName>
    <definedName name="TRP_Notes">OFFSET('PAAR UPDATE'!$M27,-moveReference,)</definedName>
    <definedName name="XAuthorInvalidPicklistData">apttusmetadata!$B$1</definedName>
    <definedName name="_xlnm.Extract" localSheetId="9">Modules!$I$10:$I$139</definedName>
    <definedName name="_xlnm.Print_Area" localSheetId="8">'Add Info-Info Supp-Info Ad'!$A$1:$V$35</definedName>
    <definedName name="_xlnm.Print_Area" localSheetId="12">'Additional Info (EN)'!$A$1:$V$35</definedName>
    <definedName name="_xlnm.Print_Area" localSheetId="11">'PAAR (EN)'!$A$1:$J$54</definedName>
    <definedName name="_xlnm.Print_Area" localSheetId="1">'PAAR UPDATE'!$A$1:$H$112</definedName>
  </definedNames>
  <calcPr calcId="145621"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1" l="1"/>
  <c r="D32" i="1"/>
  <c r="D31" i="1" l="1"/>
  <c r="D30" i="1"/>
  <c r="H74" i="20"/>
  <c r="F73" i="20"/>
  <c r="Q73" i="20" s="1"/>
  <c r="H50" i="20"/>
  <c r="Q49" i="20"/>
  <c r="F49" i="20"/>
  <c r="F42" i="20"/>
  <c r="Q42" i="20" s="1"/>
  <c r="Q41" i="20"/>
  <c r="F41" i="20"/>
  <c r="H40" i="20"/>
  <c r="F40" i="20"/>
  <c r="Q40" i="20" s="1"/>
  <c r="H39" i="20"/>
  <c r="F39" i="20"/>
  <c r="Q39" i="20" s="1"/>
  <c r="Q38" i="20"/>
  <c r="H38" i="20"/>
  <c r="F38" i="20"/>
  <c r="Q37" i="20"/>
  <c r="H37" i="20"/>
  <c r="F37" i="20"/>
  <c r="H36" i="20"/>
  <c r="F36" i="20"/>
  <c r="F43" i="20" s="1"/>
  <c r="Q43" i="20" s="1"/>
  <c r="Q30" i="20"/>
  <c r="Q29" i="20"/>
  <c r="F29" i="20"/>
  <c r="H28" i="20"/>
  <c r="F28" i="20"/>
  <c r="Q28" i="20" s="1"/>
  <c r="H27" i="20"/>
  <c r="F27" i="20"/>
  <c r="Q27" i="20" s="1"/>
  <c r="Q26" i="20"/>
  <c r="H26" i="20"/>
  <c r="F26" i="20"/>
  <c r="H25" i="20"/>
  <c r="F25" i="20"/>
  <c r="Q25" i="20" s="1"/>
  <c r="H24" i="20"/>
  <c r="F24" i="20"/>
  <c r="Q24" i="20" s="1"/>
  <c r="H23" i="20"/>
  <c r="F23" i="20"/>
  <c r="Q23" i="20" s="1"/>
  <c r="Q22" i="20"/>
  <c r="F22" i="20"/>
  <c r="H21" i="20"/>
  <c r="F21" i="20"/>
  <c r="Q21" i="20" s="1"/>
  <c r="H20" i="20"/>
  <c r="F20" i="20"/>
  <c r="Q20" i="20" s="1"/>
  <c r="Q19" i="20"/>
  <c r="H19" i="20"/>
  <c r="F19" i="20"/>
  <c r="Q18" i="20"/>
  <c r="H18" i="20"/>
  <c r="F18" i="20"/>
  <c r="H17" i="20"/>
  <c r="F17" i="20"/>
  <c r="Q17" i="20" s="1"/>
  <c r="H16" i="20"/>
  <c r="F16" i="20"/>
  <c r="Q16" i="20" s="1"/>
  <c r="Q15" i="20"/>
  <c r="H15" i="20"/>
  <c r="F15" i="20"/>
  <c r="H14" i="20"/>
  <c r="F14" i="20"/>
  <c r="Q14" i="20" s="1"/>
  <c r="H13" i="20"/>
  <c r="F13" i="20"/>
  <c r="Q13" i="20" s="1"/>
  <c r="H12" i="20"/>
  <c r="F12" i="20"/>
  <c r="Q12" i="20" s="1"/>
  <c r="Q11" i="20"/>
  <c r="H11" i="20"/>
  <c r="F11" i="20"/>
  <c r="Q10" i="20"/>
  <c r="H10" i="20"/>
  <c r="F10" i="20"/>
  <c r="H9" i="20"/>
  <c r="F9" i="20"/>
  <c r="Q9" i="20" s="1"/>
  <c r="F8" i="20"/>
  <c r="Q8" i="20" s="1"/>
  <c r="Q7" i="20"/>
  <c r="H7" i="20"/>
  <c r="F7" i="20"/>
  <c r="H6" i="20"/>
  <c r="F6" i="20"/>
  <c r="Q6" i="20" s="1"/>
  <c r="H5" i="20"/>
  <c r="F5" i="20"/>
  <c r="Q5" i="20" s="1"/>
  <c r="Q4" i="20"/>
  <c r="H4" i="20"/>
  <c r="F4" i="20"/>
  <c r="F31" i="20" s="1"/>
  <c r="Q31" i="20" s="1"/>
  <c r="Q74" i="20" l="1"/>
  <c r="Q75" i="20" s="1"/>
  <c r="Q44" i="20"/>
  <c r="Q45" i="20" s="1"/>
  <c r="Q79" i="20" s="1"/>
  <c r="Q36" i="20"/>
  <c r="Q50" i="20"/>
  <c r="Q51" i="20" s="1"/>
  <c r="L77" i="9" l="1"/>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J24" i="6"/>
  <c r="J23" i="6"/>
  <c r="J22" i="6"/>
  <c r="J21" i="6"/>
  <c r="J20" i="6"/>
  <c r="J19" i="6"/>
  <c r="J18" i="6"/>
  <c r="J17" i="6"/>
  <c r="J16" i="6"/>
  <c r="J15" i="6"/>
  <c r="J14" i="6"/>
  <c r="J13" i="6"/>
  <c r="J12" i="6"/>
  <c r="E24" i="6"/>
  <c r="E23" i="6"/>
  <c r="E22" i="6"/>
  <c r="E21" i="6"/>
  <c r="E20" i="6"/>
  <c r="E19" i="6"/>
  <c r="C19" i="6" s="1"/>
  <c r="E18" i="6"/>
  <c r="E17" i="6"/>
  <c r="C17" i="6" s="1"/>
  <c r="E16" i="6"/>
  <c r="E15" i="6"/>
  <c r="E14" i="6"/>
  <c r="E13" i="6"/>
  <c r="E12" i="6"/>
  <c r="C24" i="6"/>
  <c r="C23" i="6"/>
  <c r="C22" i="6"/>
  <c r="C21" i="6"/>
  <c r="C20" i="6"/>
  <c r="C18" i="6"/>
  <c r="C16" i="6"/>
  <c r="C15" i="6"/>
  <c r="C14" i="6"/>
  <c r="C13" i="6"/>
  <c r="C12" i="6"/>
  <c r="H6" i="6" l="1"/>
  <c r="M31" i="1" l="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30" i="1"/>
  <c r="E31" i="1" l="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B16" i="1"/>
  <c r="M111" i="1" l="1"/>
  <c r="B18" i="1" s="1"/>
  <c r="X1" i="11" l="1"/>
  <c r="G7" i="6" l="1"/>
  <c r="AB2" i="11" l="1"/>
  <c r="A1" i="15" l="1"/>
  <c r="B3" i="13" l="1"/>
  <c r="B19" i="1" l="1"/>
  <c r="J2" i="11"/>
  <c r="J10" i="6"/>
  <c r="J11" i="6"/>
  <c r="L12" i="9"/>
  <c r="P31" i="1" l="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30" i="1"/>
  <c r="E30" i="1" l="1"/>
  <c r="I111" i="1" l="1"/>
  <c r="C18" i="1" s="1"/>
  <c r="C19" i="1" s="1"/>
  <c r="E8" i="13" l="1"/>
  <c r="G8" i="13"/>
  <c r="F8" i="13"/>
  <c r="D8" i="13"/>
  <c r="B29" i="1"/>
  <c r="B8" i="13"/>
  <c r="A3" i="13"/>
  <c r="A2" i="13"/>
  <c r="C8" i="13" l="1"/>
  <c r="V111" i="1" l="1"/>
  <c r="A19" i="1" l="1"/>
  <c r="A18" i="1"/>
  <c r="A17" i="1"/>
  <c r="A26" i="6" l="1"/>
  <c r="O34" i="1" l="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L2" i="11" l="1"/>
  <c r="A2" i="11"/>
  <c r="E12" i="9" l="1"/>
  <c r="A15" i="1"/>
  <c r="N41" i="1" l="1"/>
  <c r="N49" i="1"/>
  <c r="N57" i="1"/>
  <c r="N65" i="1"/>
  <c r="N73" i="1"/>
  <c r="N81" i="1"/>
  <c r="N89" i="1"/>
  <c r="N97" i="1"/>
  <c r="N105" i="1"/>
  <c r="N50" i="1"/>
  <c r="N58" i="1"/>
  <c r="N66" i="1"/>
  <c r="N74" i="1"/>
  <c r="N82" i="1"/>
  <c r="N90" i="1"/>
  <c r="N98" i="1"/>
  <c r="N106" i="1"/>
  <c r="N69" i="1"/>
  <c r="N85" i="1"/>
  <c r="N42" i="1"/>
  <c r="N43" i="1"/>
  <c r="N51" i="1"/>
  <c r="N59" i="1"/>
  <c r="N67" i="1"/>
  <c r="N75" i="1"/>
  <c r="N83" i="1"/>
  <c r="N91" i="1"/>
  <c r="N99" i="1"/>
  <c r="N107" i="1"/>
  <c r="N52" i="1"/>
  <c r="N60" i="1"/>
  <c r="N68" i="1"/>
  <c r="N76" i="1"/>
  <c r="N84" i="1"/>
  <c r="N92" i="1"/>
  <c r="N100" i="1"/>
  <c r="N108" i="1"/>
  <c r="N61" i="1"/>
  <c r="N93" i="1"/>
  <c r="N44" i="1"/>
  <c r="N45" i="1"/>
  <c r="N46" i="1"/>
  <c r="N54" i="1"/>
  <c r="N62" i="1"/>
  <c r="N70" i="1"/>
  <c r="N78" i="1"/>
  <c r="N86" i="1"/>
  <c r="N94" i="1"/>
  <c r="N102" i="1"/>
  <c r="N110" i="1"/>
  <c r="N56" i="1"/>
  <c r="N80" i="1"/>
  <c r="N96" i="1"/>
  <c r="N77" i="1"/>
  <c r="N109" i="1"/>
  <c r="N47" i="1"/>
  <c r="N55" i="1"/>
  <c r="N63" i="1"/>
  <c r="N71" i="1"/>
  <c r="N79" i="1"/>
  <c r="N87" i="1"/>
  <c r="N95" i="1"/>
  <c r="N103" i="1"/>
  <c r="N64" i="1"/>
  <c r="N72" i="1"/>
  <c r="N88" i="1"/>
  <c r="N104" i="1"/>
  <c r="N53" i="1"/>
  <c r="N101" i="1"/>
  <c r="N48" i="1"/>
  <c r="M11" i="9"/>
  <c r="L31" i="1"/>
  <c r="L35" i="1"/>
  <c r="L39" i="1"/>
  <c r="L43" i="1"/>
  <c r="L47" i="1"/>
  <c r="L51" i="1"/>
  <c r="L55" i="1"/>
  <c r="L59" i="1"/>
  <c r="L63" i="1"/>
  <c r="L67" i="1"/>
  <c r="L71" i="1"/>
  <c r="L75" i="1"/>
  <c r="L79" i="1"/>
  <c r="L83" i="1"/>
  <c r="L87" i="1"/>
  <c r="L91" i="1"/>
  <c r="L95" i="1"/>
  <c r="L99" i="1"/>
  <c r="L103" i="1"/>
  <c r="L107" i="1"/>
  <c r="L30" i="1"/>
  <c r="L32" i="1"/>
  <c r="L36" i="1"/>
  <c r="L40" i="1"/>
  <c r="L44" i="1"/>
  <c r="L48" i="1"/>
  <c r="L52" i="1"/>
  <c r="L56" i="1"/>
  <c r="L60" i="1"/>
  <c r="L64" i="1"/>
  <c r="L68" i="1"/>
  <c r="L72" i="1"/>
  <c r="L76" i="1"/>
  <c r="L80" i="1"/>
  <c r="L84" i="1"/>
  <c r="L88" i="1"/>
  <c r="L92" i="1"/>
  <c r="L96" i="1"/>
  <c r="L100" i="1"/>
  <c r="L104" i="1"/>
  <c r="L108" i="1"/>
  <c r="L33" i="1"/>
  <c r="L37" i="1"/>
  <c r="L41" i="1"/>
  <c r="L45" i="1"/>
  <c r="L49" i="1"/>
  <c r="L53" i="1"/>
  <c r="L57" i="1"/>
  <c r="L61" i="1"/>
  <c r="L65" i="1"/>
  <c r="L69" i="1"/>
  <c r="L73" i="1"/>
  <c r="L77" i="1"/>
  <c r="L81" i="1"/>
  <c r="L85" i="1"/>
  <c r="L89" i="1"/>
  <c r="L93" i="1"/>
  <c r="L97" i="1"/>
  <c r="L101" i="1"/>
  <c r="L105" i="1"/>
  <c r="L109" i="1"/>
  <c r="L34" i="1"/>
  <c r="L38" i="1"/>
  <c r="L42" i="1"/>
  <c r="L46" i="1"/>
  <c r="L50" i="1"/>
  <c r="L54" i="1"/>
  <c r="L58" i="1"/>
  <c r="L62" i="1"/>
  <c r="L66" i="1"/>
  <c r="L70" i="1"/>
  <c r="L74" i="1"/>
  <c r="L78" i="1"/>
  <c r="L82" i="1"/>
  <c r="L86" i="1"/>
  <c r="L90" i="1"/>
  <c r="L94" i="1"/>
  <c r="L98" i="1"/>
  <c r="L102" i="1"/>
  <c r="L106" i="1"/>
  <c r="L110" i="1"/>
  <c r="D111" i="1"/>
  <c r="B17" i="1" s="1"/>
  <c r="A21" i="1"/>
  <c r="O1" i="14" l="1"/>
  <c r="P1" i="14" l="1"/>
  <c r="B5" i="6" s="1"/>
  <c r="B2" i="13" l="1"/>
  <c r="H29" i="1" l="1"/>
  <c r="I29" i="1"/>
  <c r="P2" i="11" s="1"/>
  <c r="F2" i="6" l="1"/>
  <c r="E111" i="1" l="1"/>
  <c r="C17" i="1" s="1"/>
  <c r="V2" i="11"/>
  <c r="T2" i="11"/>
  <c r="S31" i="1" l="1"/>
  <c r="S32" i="1"/>
  <c r="S36" i="1"/>
  <c r="S40" i="1"/>
  <c r="S44" i="1"/>
  <c r="S48" i="1"/>
  <c r="S52" i="1"/>
  <c r="S56" i="1"/>
  <c r="S60" i="1"/>
  <c r="S64" i="1"/>
  <c r="S68" i="1"/>
  <c r="S72" i="1"/>
  <c r="S76" i="1"/>
  <c r="S80" i="1"/>
  <c r="S84" i="1"/>
  <c r="S88" i="1"/>
  <c r="S92" i="1"/>
  <c r="S96" i="1"/>
  <c r="S100" i="1"/>
  <c r="S104" i="1"/>
  <c r="S108" i="1"/>
  <c r="S38" i="1"/>
  <c r="S46" i="1"/>
  <c r="S54" i="1"/>
  <c r="S62" i="1"/>
  <c r="S70" i="1"/>
  <c r="S78" i="1"/>
  <c r="S86" i="1"/>
  <c r="S94" i="1"/>
  <c r="S102" i="1"/>
  <c r="S110" i="1"/>
  <c r="S39" i="1"/>
  <c r="S47" i="1"/>
  <c r="S55" i="1"/>
  <c r="S63" i="1"/>
  <c r="S71" i="1"/>
  <c r="S79" i="1"/>
  <c r="S87" i="1"/>
  <c r="S95" i="1"/>
  <c r="S103" i="1"/>
  <c r="S30" i="1"/>
  <c r="S33" i="1"/>
  <c r="S37" i="1"/>
  <c r="S41" i="1"/>
  <c r="S45" i="1"/>
  <c r="S49" i="1"/>
  <c r="S53" i="1"/>
  <c r="S57" i="1"/>
  <c r="S61" i="1"/>
  <c r="S65" i="1"/>
  <c r="S69" i="1"/>
  <c r="S73" i="1"/>
  <c r="S77" i="1"/>
  <c r="S81" i="1"/>
  <c r="S85" i="1"/>
  <c r="S89" i="1"/>
  <c r="S93" i="1"/>
  <c r="S97" i="1"/>
  <c r="S101" i="1"/>
  <c r="S105" i="1"/>
  <c r="S109" i="1"/>
  <c r="S34" i="1"/>
  <c r="S42" i="1"/>
  <c r="S50" i="1"/>
  <c r="S58" i="1"/>
  <c r="S66" i="1"/>
  <c r="S74" i="1"/>
  <c r="S82" i="1"/>
  <c r="S90" i="1"/>
  <c r="S98" i="1"/>
  <c r="S106" i="1"/>
  <c r="S35" i="1"/>
  <c r="S43" i="1"/>
  <c r="S51" i="1"/>
  <c r="S59" i="1"/>
  <c r="S67" i="1"/>
  <c r="S75" i="1"/>
  <c r="S83" i="1"/>
  <c r="S91" i="1"/>
  <c r="S99" i="1"/>
  <c r="S107" i="1"/>
  <c r="H4" i="6"/>
  <c r="I3" i="6" s="1"/>
  <c r="I4" i="6" l="1"/>
  <c r="J3" i="6" s="1"/>
  <c r="J4" i="6" s="1"/>
  <c r="K3" i="6" s="1"/>
  <c r="K4" i="6" s="1"/>
  <c r="L3" i="6" s="1"/>
  <c r="L4" i="6" s="1"/>
  <c r="N2" i="11" l="1"/>
  <c r="M3" i="6" l="1"/>
  <c r="M4" i="6" s="1"/>
  <c r="H2" i="11"/>
  <c r="E2" i="11"/>
  <c r="N3" i="6" l="1"/>
  <c r="N4" i="6" s="1"/>
  <c r="O3" i="6" l="1"/>
  <c r="O4" i="6" l="1"/>
  <c r="P3" i="6" s="1"/>
  <c r="P4" i="6" s="1"/>
  <c r="G2" i="11"/>
  <c r="Y1" i="11" s="1"/>
  <c r="Z1" i="11" s="1"/>
  <c r="O2" i="11" l="1"/>
  <c r="B8" i="6" l="1"/>
  <c r="N31" i="1" l="1"/>
  <c r="O31" i="1" s="1"/>
  <c r="N35" i="1"/>
  <c r="N39" i="1"/>
  <c r="N32" i="1"/>
  <c r="O32" i="1" s="1"/>
  <c r="N36" i="1"/>
  <c r="N40" i="1"/>
  <c r="N30" i="1"/>
  <c r="O30" i="1" s="1"/>
  <c r="N34" i="1"/>
  <c r="N33" i="1"/>
  <c r="O33" i="1" s="1"/>
  <c r="N37" i="1"/>
  <c r="N38" i="1"/>
  <c r="A29" i="1"/>
  <c r="J29" i="1" l="1"/>
  <c r="D2" i="11" s="1"/>
  <c r="M29" i="1"/>
  <c r="G29" i="1"/>
  <c r="C2" i="11" s="1"/>
  <c r="F29" i="1"/>
  <c r="B2" i="11" s="1"/>
  <c r="E29" i="1"/>
  <c r="R2" i="11" s="1"/>
  <c r="D29" i="1" l="1"/>
  <c r="C29" i="1"/>
  <c r="A13" i="1" l="1"/>
  <c r="B13" i="1" l="1"/>
  <c r="E11" i="6" l="1"/>
  <c r="C11" i="6" l="1"/>
  <c r="U34" i="1"/>
  <c r="U38" i="1"/>
  <c r="U42" i="1"/>
  <c r="U46" i="1"/>
  <c r="U50" i="1"/>
  <c r="U54" i="1"/>
  <c r="U58" i="1"/>
  <c r="U62" i="1"/>
  <c r="U66" i="1"/>
  <c r="U70" i="1"/>
  <c r="U74" i="1"/>
  <c r="U78" i="1"/>
  <c r="U82" i="1"/>
  <c r="U86" i="1"/>
  <c r="U90" i="1"/>
  <c r="U94" i="1"/>
  <c r="U98" i="1"/>
  <c r="U102" i="1"/>
  <c r="U106" i="1"/>
  <c r="U110" i="1"/>
  <c r="U52" i="1"/>
  <c r="U64" i="1"/>
  <c r="U76" i="1"/>
  <c r="U84" i="1"/>
  <c r="U96" i="1"/>
  <c r="U108" i="1"/>
  <c r="U33" i="1"/>
  <c r="U41" i="1"/>
  <c r="U45" i="1"/>
  <c r="U53" i="1"/>
  <c r="U61" i="1"/>
  <c r="U73" i="1"/>
  <c r="U81" i="1"/>
  <c r="U89" i="1"/>
  <c r="U101" i="1"/>
  <c r="U31" i="1"/>
  <c r="U35" i="1"/>
  <c r="U39" i="1"/>
  <c r="U43" i="1"/>
  <c r="U47" i="1"/>
  <c r="U51" i="1"/>
  <c r="U55" i="1"/>
  <c r="U59" i="1"/>
  <c r="U63" i="1"/>
  <c r="U67" i="1"/>
  <c r="U71" i="1"/>
  <c r="U75" i="1"/>
  <c r="U79" i="1"/>
  <c r="U83" i="1"/>
  <c r="U87" i="1"/>
  <c r="U91" i="1"/>
  <c r="U95" i="1"/>
  <c r="U99" i="1"/>
  <c r="U103" i="1"/>
  <c r="U107" i="1"/>
  <c r="U30" i="1"/>
  <c r="U32" i="1"/>
  <c r="U36" i="1"/>
  <c r="U40" i="1"/>
  <c r="U44" i="1"/>
  <c r="U48" i="1"/>
  <c r="U56" i="1"/>
  <c r="U60" i="1"/>
  <c r="U68" i="1"/>
  <c r="U72" i="1"/>
  <c r="U80" i="1"/>
  <c r="U88" i="1"/>
  <c r="U92" i="1"/>
  <c r="U100" i="1"/>
  <c r="U104" i="1"/>
  <c r="U37" i="1"/>
  <c r="U49" i="1"/>
  <c r="U57" i="1"/>
  <c r="U65" i="1"/>
  <c r="U69" i="1"/>
  <c r="U77" i="1"/>
  <c r="U85" i="1"/>
  <c r="U93" i="1"/>
  <c r="U97" i="1"/>
  <c r="U105" i="1"/>
  <c r="U109" i="1"/>
  <c r="B1" i="8"/>
  <c r="K35" i="1" l="1"/>
  <c r="T35" i="1" s="1"/>
  <c r="K30" i="1"/>
  <c r="T30" i="1" s="1"/>
  <c r="K33" i="1"/>
  <c r="T33" i="1" s="1"/>
  <c r="K36" i="1"/>
  <c r="T36" i="1" s="1"/>
  <c r="K37" i="1"/>
  <c r="T37" i="1" s="1"/>
  <c r="K32" i="1"/>
  <c r="T32" i="1" s="1"/>
  <c r="K42" i="1"/>
  <c r="T42" i="1" s="1"/>
  <c r="K50" i="1"/>
  <c r="T50" i="1" s="1"/>
  <c r="K58" i="1"/>
  <c r="T58" i="1" s="1"/>
  <c r="K66" i="1"/>
  <c r="T66" i="1" s="1"/>
  <c r="K74" i="1"/>
  <c r="T74" i="1" s="1"/>
  <c r="K82" i="1"/>
  <c r="T82" i="1" s="1"/>
  <c r="K90" i="1"/>
  <c r="T90" i="1" s="1"/>
  <c r="K98" i="1"/>
  <c r="T98" i="1" s="1"/>
  <c r="K106" i="1"/>
  <c r="T106" i="1" s="1"/>
  <c r="K59" i="1"/>
  <c r="T59" i="1" s="1"/>
  <c r="K83" i="1"/>
  <c r="T83" i="1" s="1"/>
  <c r="K107" i="1"/>
  <c r="T107" i="1" s="1"/>
  <c r="K101" i="1"/>
  <c r="K46" i="1"/>
  <c r="T46" i="1" s="1"/>
  <c r="K86" i="1"/>
  <c r="T86" i="1" s="1"/>
  <c r="K110" i="1"/>
  <c r="T110" i="1" s="1"/>
  <c r="K44" i="1"/>
  <c r="T44" i="1" s="1"/>
  <c r="K52" i="1"/>
  <c r="T52" i="1" s="1"/>
  <c r="K60" i="1"/>
  <c r="T60" i="1" s="1"/>
  <c r="K68" i="1"/>
  <c r="T68" i="1" s="1"/>
  <c r="K76" i="1"/>
  <c r="T76" i="1" s="1"/>
  <c r="K84" i="1"/>
  <c r="T84" i="1" s="1"/>
  <c r="K92" i="1"/>
  <c r="T92" i="1" s="1"/>
  <c r="K100" i="1"/>
  <c r="T100" i="1" s="1"/>
  <c r="K108" i="1"/>
  <c r="T108" i="1" s="1"/>
  <c r="K45" i="1"/>
  <c r="T45" i="1" s="1"/>
  <c r="K53" i="1"/>
  <c r="T53" i="1" s="1"/>
  <c r="K61" i="1"/>
  <c r="T61" i="1" s="1"/>
  <c r="K69" i="1"/>
  <c r="T69" i="1" s="1"/>
  <c r="K93" i="1"/>
  <c r="T93" i="1" s="1"/>
  <c r="K54" i="1"/>
  <c r="T54" i="1" s="1"/>
  <c r="K78" i="1"/>
  <c r="T78" i="1" s="1"/>
  <c r="K47" i="1"/>
  <c r="T47" i="1" s="1"/>
  <c r="K55" i="1"/>
  <c r="T55" i="1" s="1"/>
  <c r="K63" i="1"/>
  <c r="T63" i="1" s="1"/>
  <c r="K71" i="1"/>
  <c r="T71" i="1" s="1"/>
  <c r="K79" i="1"/>
  <c r="T79" i="1" s="1"/>
  <c r="K87" i="1"/>
  <c r="T87" i="1" s="1"/>
  <c r="K95" i="1"/>
  <c r="T95" i="1" s="1"/>
  <c r="K103" i="1"/>
  <c r="T103" i="1" s="1"/>
  <c r="K41" i="1"/>
  <c r="T41" i="1" s="1"/>
  <c r="K57" i="1"/>
  <c r="T57" i="1" s="1"/>
  <c r="K73" i="1"/>
  <c r="T73" i="1" s="1"/>
  <c r="K89" i="1"/>
  <c r="T89" i="1" s="1"/>
  <c r="K105" i="1"/>
  <c r="K51" i="1"/>
  <c r="T51" i="1" s="1"/>
  <c r="K67" i="1"/>
  <c r="T67" i="1" s="1"/>
  <c r="K91" i="1"/>
  <c r="T91" i="1" s="1"/>
  <c r="K77" i="1"/>
  <c r="T77" i="1" s="1"/>
  <c r="K109" i="1"/>
  <c r="T109" i="1" s="1"/>
  <c r="K62" i="1"/>
  <c r="T62" i="1" s="1"/>
  <c r="K94" i="1"/>
  <c r="T94" i="1" s="1"/>
  <c r="K40" i="1"/>
  <c r="T40" i="1" s="1"/>
  <c r="K48" i="1"/>
  <c r="T48" i="1" s="1"/>
  <c r="K56" i="1"/>
  <c r="T56" i="1" s="1"/>
  <c r="K64" i="1"/>
  <c r="T64" i="1" s="1"/>
  <c r="K72" i="1"/>
  <c r="T72" i="1" s="1"/>
  <c r="K80" i="1"/>
  <c r="T80" i="1" s="1"/>
  <c r="K88" i="1"/>
  <c r="T88" i="1" s="1"/>
  <c r="K96" i="1"/>
  <c r="T96" i="1" s="1"/>
  <c r="K104" i="1"/>
  <c r="T104" i="1" s="1"/>
  <c r="K49" i="1"/>
  <c r="T49" i="1" s="1"/>
  <c r="K65" i="1"/>
  <c r="T65" i="1" s="1"/>
  <c r="K81" i="1"/>
  <c r="T81" i="1" s="1"/>
  <c r="K97" i="1"/>
  <c r="T97" i="1" s="1"/>
  <c r="K43" i="1"/>
  <c r="T43" i="1" s="1"/>
  <c r="K75" i="1"/>
  <c r="T75" i="1" s="1"/>
  <c r="K99" i="1"/>
  <c r="T99" i="1" s="1"/>
  <c r="K85" i="1"/>
  <c r="T85" i="1" s="1"/>
  <c r="K70" i="1"/>
  <c r="T70" i="1" s="1"/>
  <c r="K102" i="1"/>
  <c r="T102" i="1" s="1"/>
  <c r="K31" i="1"/>
  <c r="T31" i="1" s="1"/>
  <c r="T105" i="1"/>
  <c r="K39" i="1"/>
  <c r="T39" i="1" s="1"/>
  <c r="T101" i="1"/>
  <c r="K38" i="1"/>
  <c r="T38" i="1" s="1"/>
  <c r="K34" i="1"/>
  <c r="T34" i="1" s="1"/>
  <c r="I10" i="6"/>
  <c r="W81" i="1"/>
  <c r="V81" i="1"/>
  <c r="V37" i="1"/>
  <c r="W37" i="1"/>
  <c r="W84" i="1"/>
  <c r="V84" i="1"/>
  <c r="W68" i="1"/>
  <c r="V68" i="1"/>
  <c r="W52" i="1"/>
  <c r="V52" i="1"/>
  <c r="W36" i="1"/>
  <c r="V36" i="1"/>
  <c r="V85" i="1"/>
  <c r="W85" i="1"/>
  <c r="W33" i="1"/>
  <c r="V33" i="1"/>
  <c r="W103" i="1"/>
  <c r="V103" i="1"/>
  <c r="W87" i="1"/>
  <c r="V87" i="1"/>
  <c r="W71" i="1"/>
  <c r="V71" i="1"/>
  <c r="W55" i="1"/>
  <c r="V55" i="1"/>
  <c r="W39" i="1"/>
  <c r="V39" i="1"/>
  <c r="W93" i="1"/>
  <c r="V93" i="1"/>
  <c r="W41" i="1"/>
  <c r="V41" i="1"/>
  <c r="V106" i="1"/>
  <c r="W106" i="1"/>
  <c r="V90" i="1"/>
  <c r="W90" i="1"/>
  <c r="V74" i="1"/>
  <c r="W74" i="1"/>
  <c r="V58" i="1"/>
  <c r="W58" i="1"/>
  <c r="V42" i="1"/>
  <c r="W42" i="1"/>
  <c r="V69" i="1"/>
  <c r="W69" i="1"/>
  <c r="W108" i="1"/>
  <c r="V108" i="1"/>
  <c r="V80" i="1"/>
  <c r="W80" i="1"/>
  <c r="V64" i="1"/>
  <c r="W64" i="1"/>
  <c r="W48" i="1"/>
  <c r="V48" i="1"/>
  <c r="V32" i="1"/>
  <c r="W32" i="1"/>
  <c r="W73" i="1"/>
  <c r="V73" i="1"/>
  <c r="W100" i="1"/>
  <c r="V100" i="1"/>
  <c r="V99" i="1"/>
  <c r="W99" i="1"/>
  <c r="W83" i="1"/>
  <c r="V83" i="1"/>
  <c r="V67" i="1"/>
  <c r="W67" i="1"/>
  <c r="V51" i="1"/>
  <c r="W51" i="1"/>
  <c r="W35" i="1"/>
  <c r="V35" i="1"/>
  <c r="W77" i="1"/>
  <c r="V77" i="1"/>
  <c r="V104" i="1"/>
  <c r="W104" i="1"/>
  <c r="W102" i="1"/>
  <c r="V102" i="1"/>
  <c r="W86" i="1"/>
  <c r="V86" i="1"/>
  <c r="W70" i="1"/>
  <c r="V70" i="1"/>
  <c r="V54" i="1"/>
  <c r="W54" i="1"/>
  <c r="V38" i="1"/>
  <c r="W38" i="1"/>
  <c r="V101" i="1"/>
  <c r="W101" i="1"/>
  <c r="V57" i="1"/>
  <c r="W57" i="1"/>
  <c r="V96" i="1"/>
  <c r="W96" i="1"/>
  <c r="W76" i="1"/>
  <c r="V76" i="1"/>
  <c r="W60" i="1"/>
  <c r="V60" i="1"/>
  <c r="W44" i="1"/>
  <c r="V44" i="1"/>
  <c r="V109" i="1"/>
  <c r="W109" i="1"/>
  <c r="W61" i="1"/>
  <c r="V61" i="1"/>
  <c r="W30" i="1"/>
  <c r="V30" i="1"/>
  <c r="W95" i="1"/>
  <c r="V95" i="1"/>
  <c r="W79" i="1"/>
  <c r="V79" i="1"/>
  <c r="W63" i="1"/>
  <c r="V63" i="1"/>
  <c r="W47" i="1"/>
  <c r="V47" i="1"/>
  <c r="W31" i="1"/>
  <c r="V31" i="1"/>
  <c r="V65" i="1"/>
  <c r="W65" i="1"/>
  <c r="W92" i="1"/>
  <c r="V92" i="1"/>
  <c r="V98" i="1"/>
  <c r="W98" i="1"/>
  <c r="V82" i="1"/>
  <c r="W82" i="1"/>
  <c r="V66" i="1"/>
  <c r="W66" i="1"/>
  <c r="V50" i="1"/>
  <c r="W50" i="1"/>
  <c r="V34" i="1"/>
  <c r="W34" i="1"/>
  <c r="W89" i="1"/>
  <c r="V89" i="1"/>
  <c r="W45" i="1"/>
  <c r="V45" i="1"/>
  <c r="W88" i="1"/>
  <c r="V88" i="1"/>
  <c r="V72" i="1"/>
  <c r="W72" i="1"/>
  <c r="V56" i="1"/>
  <c r="W56" i="1"/>
  <c r="V40" i="1"/>
  <c r="W40" i="1"/>
  <c r="V97" i="1"/>
  <c r="W97" i="1"/>
  <c r="W49" i="1"/>
  <c r="V49" i="1"/>
  <c r="W107" i="1"/>
  <c r="V107" i="1"/>
  <c r="V91" i="1"/>
  <c r="W91" i="1"/>
  <c r="V75" i="1"/>
  <c r="W75" i="1"/>
  <c r="W59" i="1"/>
  <c r="V59" i="1"/>
  <c r="V43" i="1"/>
  <c r="W43" i="1"/>
  <c r="V105" i="1"/>
  <c r="W105" i="1"/>
  <c r="W53" i="1"/>
  <c r="V53" i="1"/>
  <c r="W110" i="1"/>
  <c r="V110" i="1"/>
  <c r="V94" i="1"/>
  <c r="W94" i="1"/>
  <c r="V78" i="1"/>
  <c r="W78" i="1"/>
  <c r="W62" i="1"/>
  <c r="V62" i="1"/>
  <c r="W46" i="1"/>
  <c r="V46" i="1"/>
  <c r="B15" i="1"/>
  <c r="B14" i="1"/>
  <c r="F28" i="4" l="1"/>
  <c r="F29" i="4"/>
  <c r="A21" i="4"/>
  <c r="B13" i="4"/>
  <c r="B14" i="4"/>
  <c r="B15" i="4"/>
  <c r="B16" i="4"/>
  <c r="H28" i="4" s="1"/>
  <c r="A28" i="4"/>
  <c r="B28" i="4"/>
  <c r="C28" i="4"/>
  <c r="D28" i="4"/>
  <c r="A29" i="4"/>
  <c r="B29" i="4"/>
  <c r="C29" i="4"/>
  <c r="D29" i="4"/>
  <c r="A30" i="4"/>
  <c r="B30" i="4"/>
  <c r="C30" i="4"/>
  <c r="D30" i="4"/>
  <c r="F30" i="4"/>
  <c r="A31" i="4"/>
  <c r="B31" i="4"/>
  <c r="C31" i="4"/>
  <c r="D31" i="4"/>
  <c r="F31" i="4"/>
  <c r="A32" i="4"/>
  <c r="B32" i="4"/>
  <c r="C32" i="4"/>
  <c r="D32" i="4"/>
  <c r="F32" i="4"/>
  <c r="A33" i="4"/>
  <c r="B33" i="4"/>
  <c r="C33" i="4"/>
  <c r="D33" i="4"/>
  <c r="F33" i="4"/>
  <c r="A34" i="4"/>
  <c r="B34" i="4"/>
  <c r="C34" i="4"/>
  <c r="D34" i="4"/>
  <c r="F34" i="4"/>
  <c r="A35" i="4"/>
  <c r="B35" i="4"/>
  <c r="C35" i="4"/>
  <c r="D35" i="4"/>
  <c r="F35" i="4"/>
  <c r="A36" i="4"/>
  <c r="B36" i="4"/>
  <c r="C36" i="4"/>
  <c r="D36" i="4"/>
  <c r="F36" i="4"/>
  <c r="A37" i="4"/>
  <c r="B37" i="4"/>
  <c r="C37" i="4"/>
  <c r="D37" i="4"/>
  <c r="F37" i="4"/>
  <c r="A38" i="4"/>
  <c r="B38" i="4"/>
  <c r="C38" i="4"/>
  <c r="D38" i="4"/>
  <c r="F38" i="4"/>
  <c r="A39" i="4"/>
  <c r="B39" i="4"/>
  <c r="C39" i="4"/>
  <c r="D39" i="4"/>
  <c r="F39" i="4"/>
  <c r="A40" i="4"/>
  <c r="B40" i="4"/>
  <c r="C40" i="4"/>
  <c r="D40" i="4"/>
  <c r="F40" i="4"/>
  <c r="A41" i="4"/>
  <c r="B41" i="4"/>
  <c r="C41" i="4"/>
  <c r="D41" i="4"/>
  <c r="F41" i="4"/>
  <c r="A42" i="4"/>
  <c r="B42" i="4"/>
  <c r="C42" i="4"/>
  <c r="D42" i="4"/>
  <c r="F42" i="4"/>
  <c r="A43" i="4"/>
  <c r="B43" i="4"/>
  <c r="C43" i="4"/>
  <c r="D43" i="4"/>
  <c r="F43" i="4"/>
  <c r="A44" i="4"/>
  <c r="B44" i="4"/>
  <c r="C44" i="4"/>
  <c r="D44" i="4"/>
  <c r="F44" i="4"/>
  <c r="A45" i="4"/>
  <c r="B45" i="4"/>
  <c r="C45" i="4"/>
  <c r="D45" i="4"/>
  <c r="F45" i="4"/>
  <c r="A46" i="4"/>
  <c r="B46" i="4"/>
  <c r="C46" i="4"/>
  <c r="D46" i="4"/>
  <c r="F46" i="4"/>
  <c r="A47" i="4"/>
  <c r="B47" i="4"/>
  <c r="C47" i="4"/>
  <c r="D47" i="4"/>
  <c r="F47" i="4"/>
  <c r="A48" i="4"/>
  <c r="B48" i="4"/>
  <c r="C48" i="4"/>
  <c r="D48" i="4"/>
  <c r="F48" i="4"/>
  <c r="A49" i="4"/>
  <c r="B49" i="4"/>
  <c r="C49" i="4"/>
  <c r="D49" i="4"/>
  <c r="F49" i="4"/>
  <c r="A50" i="4"/>
  <c r="B50" i="4"/>
  <c r="C50" i="4"/>
  <c r="D50" i="4"/>
  <c r="F50" i="4"/>
  <c r="A51" i="4"/>
  <c r="B51" i="4"/>
  <c r="C51" i="4"/>
  <c r="D51" i="4"/>
  <c r="F51" i="4"/>
  <c r="A52" i="4"/>
  <c r="B52" i="4"/>
  <c r="C52" i="4"/>
  <c r="D52" i="4"/>
  <c r="F52" i="4"/>
  <c r="G53" i="4"/>
  <c r="E29" i="4"/>
  <c r="E30" i="4"/>
  <c r="E31" i="4"/>
  <c r="E32" i="4"/>
  <c r="E33" i="4"/>
  <c r="E34" i="4"/>
  <c r="E35" i="4"/>
  <c r="E36" i="4"/>
  <c r="E37" i="4"/>
  <c r="E38" i="4"/>
  <c r="E39" i="4"/>
  <c r="E40" i="4"/>
  <c r="E41" i="4"/>
  <c r="E42" i="4"/>
  <c r="E43" i="4"/>
  <c r="E44" i="4"/>
  <c r="E45" i="4"/>
  <c r="E46" i="4"/>
  <c r="E47" i="4"/>
  <c r="E48" i="4"/>
  <c r="E49" i="4"/>
  <c r="E50" i="4"/>
  <c r="E51" i="4"/>
  <c r="E52" i="4"/>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4" i="5"/>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C4" i="5"/>
  <c r="B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4" i="5"/>
  <c r="D3" i="3"/>
  <c r="C3" i="3"/>
  <c r="B3" i="3"/>
  <c r="A3" i="3"/>
  <c r="A2" i="3"/>
  <c r="A1" i="3"/>
  <c r="D53" i="4"/>
  <c r="A111" i="1"/>
  <c r="G299" i="2"/>
  <c r="A28" i="1"/>
  <c r="A27" i="1"/>
  <c r="A22" i="1"/>
  <c r="A4" i="1"/>
  <c r="A16" i="1"/>
  <c r="A14" i="1"/>
  <c r="A12" i="1"/>
  <c r="A10" i="1"/>
  <c r="H47" i="4" l="1"/>
  <c r="H38" i="4"/>
  <c r="H37" i="4"/>
  <c r="H31" i="4"/>
  <c r="H29" i="4"/>
  <c r="H40" i="4"/>
  <c r="E53" i="4"/>
  <c r="H48" i="4"/>
  <c r="H52" i="4"/>
  <c r="H42" i="4"/>
  <c r="H46" i="4"/>
  <c r="H43" i="4"/>
  <c r="H33" i="4"/>
  <c r="H32" i="4"/>
  <c r="H51" i="4"/>
  <c r="H49" i="4"/>
  <c r="E28" i="4"/>
  <c r="B17" i="4"/>
  <c r="H36" i="4"/>
  <c r="H35" i="4"/>
  <c r="H30" i="4"/>
  <c r="H50" i="4"/>
  <c r="H41" i="4"/>
  <c r="H44" i="4"/>
  <c r="H39" i="4"/>
  <c r="H34" i="4"/>
  <c r="H45" i="4"/>
  <c r="H53" i="4" l="1"/>
  <c r="I11" i="6"/>
  <c r="M12" i="9"/>
  <c r="M13" i="9" l="1"/>
  <c r="I12" i="6"/>
  <c r="M78" i="9"/>
  <c r="I13" i="6" l="1"/>
  <c r="M14" i="9"/>
  <c r="I14" i="6" l="1"/>
  <c r="I15" i="6" s="1"/>
  <c r="I16" i="6" s="1"/>
  <c r="I17" i="6" s="1"/>
  <c r="I18" i="6" s="1"/>
  <c r="I19" i="6" s="1"/>
  <c r="I20" i="6" s="1"/>
  <c r="I21" i="6" s="1"/>
  <c r="I22" i="6" s="1"/>
  <c r="I23" i="6" s="1"/>
  <c r="I24" i="6" s="1"/>
  <c r="M15" i="9"/>
  <c r="M16" i="9" l="1"/>
  <c r="M17" i="9" s="1"/>
  <c r="M18" i="9" s="1"/>
  <c r="M19" i="9" s="1"/>
  <c r="M20" i="9" s="1"/>
  <c r="M21" i="9" s="1"/>
  <c r="M22" i="9" s="1"/>
  <c r="M23" i="9" s="1"/>
  <c r="M24" i="9" s="1"/>
  <c r="M25" i="9" s="1"/>
  <c r="M26" i="9" s="1"/>
  <c r="M27" i="9" s="1"/>
  <c r="M28" i="9" s="1"/>
  <c r="M29" i="9" s="1"/>
  <c r="M30" i="9" s="1"/>
  <c r="M31" i="9" s="1"/>
  <c r="M32" i="9" s="1"/>
  <c r="M33" i="9" s="1"/>
  <c r="M34" i="9" s="1"/>
  <c r="M35" i="9" s="1"/>
  <c r="M36" i="9" s="1"/>
  <c r="M37" i="9" s="1"/>
  <c r="M38" i="9" s="1"/>
  <c r="M39" i="9" s="1"/>
  <c r="M40" i="9" s="1"/>
  <c r="M41" i="9" s="1"/>
  <c r="M42" i="9" s="1"/>
  <c r="M43" i="9" s="1"/>
  <c r="M44" i="9" s="1"/>
  <c r="M45" i="9" s="1"/>
  <c r="M46" i="9" s="1"/>
  <c r="M47" i="9" s="1"/>
  <c r="M48" i="9" s="1"/>
  <c r="M49" i="9" s="1"/>
  <c r="M50" i="9" s="1"/>
  <c r="M51" i="9" s="1"/>
  <c r="M52" i="9" s="1"/>
  <c r="M53" i="9" s="1"/>
  <c r="M54" i="9" s="1"/>
  <c r="M55" i="9" s="1"/>
  <c r="M56" i="9" s="1"/>
  <c r="M57" i="9" s="1"/>
  <c r="M58" i="9" s="1"/>
  <c r="M59" i="9" s="1"/>
  <c r="M60" i="9" s="1"/>
  <c r="M61" i="9" s="1"/>
  <c r="M62" i="9" s="1"/>
  <c r="M63" i="9" s="1"/>
  <c r="M64" i="9" s="1"/>
  <c r="M65" i="9" s="1"/>
  <c r="M66" i="9" s="1"/>
  <c r="M67" i="9" s="1"/>
  <c r="M68" i="9" s="1"/>
  <c r="M69" i="9" s="1"/>
  <c r="M70" i="9" s="1"/>
  <c r="M71" i="9" s="1"/>
  <c r="M72" i="9" s="1"/>
  <c r="M73" i="9" s="1"/>
  <c r="M74" i="9" s="1"/>
  <c r="M75" i="9" s="1"/>
  <c r="M76" i="9" s="1"/>
  <c r="M77" i="9" s="1"/>
  <c r="M79" i="9" l="1"/>
  <c r="M80" i="9" s="1"/>
  <c r="M81" i="9" l="1"/>
  <c r="M82" i="9" l="1"/>
  <c r="M83" i="9" s="1"/>
  <c r="M84" i="9" l="1"/>
  <c r="M85" i="9" l="1"/>
  <c r="M86" i="9" s="1"/>
  <c r="M87" i="9" s="1"/>
  <c r="M88" i="9" l="1"/>
  <c r="M89" i="9" s="1"/>
  <c r="M90" i="9" l="1"/>
  <c r="M91" i="9" s="1"/>
  <c r="M92" i="9" l="1"/>
  <c r="M93" i="9" s="1"/>
  <c r="M94" i="9" s="1"/>
  <c r="M95" i="9" s="1"/>
  <c r="M96" i="9" s="1"/>
  <c r="M97" i="9" s="1"/>
  <c r="M98" i="9" s="1"/>
  <c r="M99" i="9" s="1"/>
  <c r="M100" i="9" s="1"/>
  <c r="M101" i="9" s="1"/>
  <c r="M102" i="9" s="1"/>
  <c r="M103" i="9" s="1"/>
  <c r="M104" i="9" s="1"/>
  <c r="M105" i="9" s="1"/>
  <c r="M106" i="9" s="1"/>
  <c r="M107" i="9" s="1"/>
  <c r="M108" i="9" s="1"/>
  <c r="M109" i="9" s="1"/>
  <c r="M110" i="9" s="1"/>
  <c r="M111" i="9" s="1"/>
  <c r="M112" i="9" s="1"/>
  <c r="M113" i="9" s="1"/>
  <c r="M114" i="9" s="1"/>
  <c r="M115" i="9" s="1"/>
  <c r="M116" i="9" s="1"/>
  <c r="M117" i="9" s="1"/>
  <c r="M118" i="9" s="1"/>
  <c r="M119" i="9" s="1"/>
  <c r="M120" i="9" s="1"/>
  <c r="M121" i="9" s="1"/>
  <c r="M122" i="9" s="1"/>
  <c r="M123" i="9" s="1"/>
  <c r="M124" i="9" s="1"/>
  <c r="M125" i="9" s="1"/>
  <c r="M126" i="9" s="1"/>
  <c r="M127" i="9" s="1"/>
  <c r="M128" i="9" s="1"/>
  <c r="M129" i="9" s="1"/>
  <c r="M130" i="9" s="1"/>
  <c r="M131" i="9" s="1"/>
  <c r="M132" i="9" s="1"/>
  <c r="M133" i="9" s="1"/>
  <c r="M134" i="9" s="1"/>
  <c r="M135" i="9" s="1"/>
  <c r="M136" i="9" s="1"/>
  <c r="M137" i="9" s="1"/>
  <c r="M138" i="9" s="1"/>
  <c r="M139" i="9" s="1"/>
  <c r="M140" i="9" s="1"/>
  <c r="M141" i="9" s="1"/>
  <c r="M142" i="9" s="1"/>
  <c r="M143" i="9" s="1"/>
  <c r="M144" i="9" s="1"/>
  <c r="M145" i="9" s="1"/>
  <c r="M146" i="9" s="1"/>
  <c r="M147" i="9" s="1"/>
  <c r="M148" i="9" s="1"/>
  <c r="M149" i="9" s="1"/>
  <c r="M150" i="9" s="1"/>
  <c r="M151" i="9" s="1"/>
  <c r="M152" i="9" s="1"/>
  <c r="M153" i="9" s="1"/>
  <c r="M154" i="9" s="1"/>
  <c r="M155" i="9" s="1"/>
  <c r="M156" i="9" s="1"/>
  <c r="M157" i="9" s="1"/>
  <c r="M158" i="9" s="1"/>
  <c r="M159" i="9" s="1"/>
  <c r="M160" i="9" s="1"/>
  <c r="M161" i="9" s="1"/>
  <c r="M162" i="9" s="1"/>
  <c r="M163" i="9" s="1"/>
  <c r="M164" i="9" s="1"/>
  <c r="M165" i="9" s="1"/>
  <c r="M166" i="9" s="1"/>
  <c r="M167" i="9" s="1"/>
  <c r="M168" i="9" s="1"/>
  <c r="M169" i="9" s="1"/>
  <c r="M170" i="9" s="1"/>
  <c r="M171" i="9" s="1"/>
  <c r="M172" i="9" s="1"/>
  <c r="M173" i="9" s="1"/>
  <c r="M174" i="9" s="1"/>
  <c r="M175" i="9" s="1"/>
  <c r="M176" i="9" s="1"/>
  <c r="M177" i="9" s="1"/>
  <c r="M178" i="9" l="1"/>
  <c r="M179" i="9" s="1"/>
  <c r="M180" i="9" l="1"/>
  <c r="M181" i="9" l="1"/>
  <c r="M182" i="9" l="1"/>
  <c r="M183" i="9" s="1"/>
  <c r="M184" i="9" l="1"/>
  <c r="M185" i="9" l="1"/>
  <c r="M186" i="9" s="1"/>
  <c r="M187" i="9" l="1"/>
  <c r="M188" i="9" l="1"/>
  <c r="M189" i="9" s="1"/>
  <c r="M190" i="9" s="1"/>
  <c r="M191" i="9" l="1"/>
  <c r="M192" i="9" s="1"/>
  <c r="M193" i="9" l="1"/>
  <c r="M194" i="9" l="1"/>
  <c r="M195" i="9" l="1"/>
  <c r="M196" i="9" s="1"/>
  <c r="M197" i="9" l="1"/>
  <c r="M198" i="9" l="1"/>
  <c r="M199" i="9" l="1"/>
  <c r="M200" i="9" s="1"/>
  <c r="M201" i="9" l="1"/>
  <c r="M202" i="9" l="1"/>
  <c r="M203" i="9" s="1"/>
  <c r="M204" i="9" l="1"/>
  <c r="M205" i="9" l="1"/>
  <c r="M206" i="9" l="1"/>
  <c r="M207" i="9" s="1"/>
  <c r="M208" i="9" l="1"/>
  <c r="M209" i="9" s="1"/>
  <c r="M210" i="9" l="1"/>
  <c r="M211" i="9" s="1"/>
  <c r="M212" i="9" s="1"/>
  <c r="M213" i="9" l="1"/>
  <c r="M214" i="9" l="1"/>
  <c r="M215" i="9" l="1"/>
  <c r="M216" i="9" l="1"/>
  <c r="M217" i="9" s="1"/>
  <c r="M218" i="9" l="1"/>
  <c r="M219" i="9" l="1"/>
  <c r="M220" i="9" l="1"/>
  <c r="M221" i="9" l="1"/>
  <c r="M222" i="9" s="1"/>
  <c r="M223" i="9" l="1"/>
  <c r="M224" i="9" s="1"/>
  <c r="M225" i="9" l="1"/>
  <c r="M226" i="9" s="1"/>
  <c r="M227" i="9" s="1"/>
  <c r="M228" i="9" l="1"/>
  <c r="M229" i="9" s="1"/>
  <c r="M230" i="9" l="1"/>
  <c r="M231" i="9" s="1"/>
  <c r="M232" i="9" l="1"/>
  <c r="M233" i="9" l="1"/>
  <c r="M234" i="9" s="1"/>
  <c r="M235" i="9" l="1"/>
  <c r="M236" i="9" s="1"/>
  <c r="M237" i="9" l="1"/>
  <c r="M238" i="9" s="1"/>
  <c r="M239" i="9" l="1"/>
  <c r="M240" i="9" l="1"/>
  <c r="M241" i="9" l="1"/>
  <c r="M242" i="9" s="1"/>
  <c r="M243" i="9" l="1"/>
  <c r="M244" i="9" l="1"/>
  <c r="M245" i="9" l="1"/>
  <c r="M246" i="9" s="1"/>
  <c r="M247" i="9" l="1"/>
  <c r="M248" i="9" l="1"/>
  <c r="M249" i="9" s="1"/>
  <c r="M250" i="9" s="1"/>
  <c r="M251" i="9" l="1"/>
  <c r="M252" i="9" s="1"/>
  <c r="M253" i="9" l="1"/>
  <c r="M254" i="9" s="1"/>
  <c r="M255" i="9" s="1"/>
  <c r="M256" i="9" l="1"/>
  <c r="M257" i="9" l="1"/>
  <c r="M258" i="9" l="1"/>
  <c r="M259" i="9" s="1"/>
  <c r="M260" i="9" l="1"/>
  <c r="M261" i="9" l="1"/>
  <c r="M262" i="9" l="1"/>
  <c r="M263" i="9" s="1"/>
  <c r="M264" i="9" s="1"/>
  <c r="M265" i="9" l="1"/>
  <c r="M266" i="9" s="1"/>
  <c r="M267" i="9" l="1"/>
  <c r="M268" i="9" s="1"/>
  <c r="M269" i="9" l="1"/>
  <c r="M270" i="9" s="1"/>
  <c r="M271" i="9" s="1"/>
  <c r="M272" i="9" l="1"/>
  <c r="M273" i="9" l="1"/>
  <c r="M274" i="9" l="1"/>
  <c r="M275" i="9" s="1"/>
  <c r="M276" i="9" l="1"/>
  <c r="M277" i="9" s="1"/>
  <c r="M278" i="9" s="1"/>
  <c r="M279" i="9" l="1"/>
  <c r="M280" i="9" l="1"/>
  <c r="M281" i="9" s="1"/>
  <c r="M282" i="9" l="1"/>
  <c r="M283" i="9" l="1"/>
  <c r="M284" i="9" l="1"/>
  <c r="M285" i="9" s="1"/>
  <c r="M286" i="9" l="1"/>
  <c r="M287" i="9" l="1"/>
  <c r="M288" i="9" l="1"/>
  <c r="M289" i="9" l="1"/>
  <c r="M290" i="9" l="1"/>
  <c r="M291" i="9" l="1"/>
  <c r="M292" i="9" l="1"/>
  <c r="M293" i="9" l="1"/>
  <c r="M294" i="9" s="1"/>
  <c r="M295" i="9" l="1"/>
  <c r="M296" i="9" l="1"/>
  <c r="M297" i="9" l="1"/>
  <c r="M298" i="9" s="1"/>
  <c r="M299" i="9" l="1"/>
  <c r="M300" i="9" l="1"/>
  <c r="M301" i="9" l="1"/>
  <c r="M302" i="9" s="1"/>
  <c r="M303" i="9" l="1"/>
  <c r="M304" i="9" l="1"/>
  <c r="M305" i="9" l="1"/>
  <c r="M306" i="9" l="1"/>
  <c r="M307" i="9" l="1"/>
  <c r="M308" i="9" s="1"/>
  <c r="M309" i="9" l="1"/>
  <c r="M310" i="9" l="1"/>
  <c r="M311" i="9" l="1"/>
  <c r="M312" i="9" l="1"/>
  <c r="M313" i="9" s="1"/>
  <c r="M314" i="9" l="1"/>
  <c r="M315" i="9" l="1"/>
  <c r="M316" i="9" l="1"/>
  <c r="M317" i="9" l="1"/>
  <c r="M318" i="9" l="1"/>
  <c r="M319" i="9" l="1"/>
  <c r="M320" i="9" l="1"/>
  <c r="M321" i="9" l="1"/>
  <c r="M322" i="9" l="1"/>
  <c r="M323" i="9" l="1"/>
  <c r="M324" i="9" s="1"/>
  <c r="M325" i="9" l="1"/>
  <c r="M326" i="9" l="1"/>
  <c r="M327" i="9" l="1"/>
  <c r="M328" i="9" l="1"/>
  <c r="M329" i="9" l="1"/>
  <c r="M330" i="9" l="1"/>
  <c r="M331" i="9" s="1"/>
  <c r="M332" i="9" l="1"/>
  <c r="M333" i="9" l="1"/>
  <c r="M334" i="9" l="1"/>
  <c r="M335" i="9" s="1"/>
  <c r="M336" i="9" l="1"/>
  <c r="M337" i="9" l="1"/>
  <c r="M338" i="9" l="1"/>
  <c r="M339" i="9" l="1"/>
  <c r="M340" i="9" l="1"/>
  <c r="M341" i="9" l="1"/>
  <c r="M342" i="9" l="1"/>
  <c r="M343" i="9" l="1"/>
  <c r="M344" i="9" l="1"/>
  <c r="M345" i="9" s="1"/>
  <c r="M346" i="9" l="1"/>
  <c r="M347" i="9" l="1"/>
  <c r="M348" i="9" l="1"/>
  <c r="M349" i="9" l="1"/>
  <c r="M350" i="9" s="1"/>
  <c r="M351" i="9" l="1"/>
  <c r="M352" i="9" l="1"/>
  <c r="M353" i="9" l="1"/>
  <c r="M354" i="9" s="1"/>
  <c r="M355" i="9" l="1"/>
  <c r="M356" i="9" l="1"/>
  <c r="M357" i="9" l="1"/>
  <c r="M358" i="9" l="1"/>
  <c r="M359" i="9" l="1"/>
  <c r="M360" i="9" l="1"/>
  <c r="M361" i="9" l="1"/>
  <c r="M362" i="9" l="1"/>
  <c r="M363" i="9" l="1"/>
  <c r="M364" i="9" l="1"/>
  <c r="M365" i="9" l="1"/>
  <c r="M366" i="9" l="1"/>
  <c r="M367" i="9" l="1"/>
  <c r="M368" i="9" l="1"/>
  <c r="M369" i="9" s="1"/>
  <c r="M370" i="9" l="1"/>
  <c r="M371" i="9" l="1"/>
  <c r="M372" i="9" l="1"/>
  <c r="M373" i="9" l="1"/>
  <c r="M374" i="9" l="1"/>
  <c r="M375" i="9" l="1"/>
  <c r="M376" i="9" l="1"/>
  <c r="M377" i="9" l="1"/>
  <c r="M378" i="9" l="1"/>
  <c r="M379" i="9" l="1"/>
  <c r="M380" i="9" l="1"/>
  <c r="M381" i="9" l="1"/>
  <c r="M382" i="9" l="1"/>
  <c r="M383" i="9" s="1"/>
  <c r="M384" i="9" l="1"/>
  <c r="M385" i="9" l="1"/>
  <c r="M386" i="9" l="1"/>
  <c r="M387" i="9" l="1"/>
  <c r="M388" i="9" s="1"/>
  <c r="M389" i="9" l="1"/>
  <c r="M390" i="9" l="1"/>
  <c r="M391" i="9" l="1"/>
  <c r="M392" i="9" s="1"/>
  <c r="M393" i="9" l="1"/>
  <c r="M394" i="9" l="1"/>
  <c r="M395" i="9" l="1"/>
  <c r="M396" i="9" l="1"/>
  <c r="M397" i="9" l="1"/>
  <c r="M398" i="9" s="1"/>
  <c r="M399" i="9" l="1"/>
  <c r="M400" i="9" s="1"/>
  <c r="M401" i="9" l="1"/>
  <c r="M402" i="9" l="1"/>
  <c r="M403" i="9" s="1"/>
  <c r="M404" i="9" l="1"/>
  <c r="M405" i="9" l="1"/>
  <c r="M406" i="9" s="1"/>
  <c r="M407" i="9" l="1"/>
  <c r="M408" i="9" l="1"/>
  <c r="M409" i="9" l="1"/>
  <c r="M410" i="9" s="1"/>
  <c r="M411" i="9" l="1"/>
  <c r="M412" i="9" s="1"/>
  <c r="M413" i="9" l="1"/>
  <c r="M414" i="9" s="1"/>
  <c r="M415" i="9" l="1"/>
  <c r="M416" i="9" s="1"/>
  <c r="M417" i="9" l="1"/>
  <c r="M418" i="9" l="1"/>
  <c r="M419" i="9" s="1"/>
  <c r="M420" i="9" l="1"/>
  <c r="M421" i="9" s="1"/>
  <c r="M422" i="9" l="1"/>
  <c r="M423" i="9" l="1"/>
  <c r="M424" i="9" l="1"/>
  <c r="M425" i="9" s="1"/>
  <c r="M426" i="9" l="1"/>
  <c r="M427" i="9" s="1"/>
  <c r="M428" i="9" l="1"/>
  <c r="M429" i="9" s="1"/>
  <c r="M430" i="9" l="1"/>
  <c r="M431" i="9" s="1"/>
  <c r="M432" i="9" l="1"/>
  <c r="M433" i="9" s="1"/>
  <c r="M434" i="9" l="1"/>
  <c r="M435" i="9" s="1"/>
  <c r="M436" i="9" l="1"/>
  <c r="M437" i="9" l="1"/>
  <c r="M438" i="9" s="1"/>
  <c r="M439" i="9" l="1"/>
  <c r="M440" i="9" l="1"/>
  <c r="M441" i="9" s="1"/>
  <c r="M442" i="9" l="1"/>
  <c r="M443" i="9" s="1"/>
  <c r="M444" i="9" s="1"/>
  <c r="M445" i="9" s="1"/>
  <c r="M446" i="9" s="1"/>
</calcChain>
</file>

<file path=xl/sharedStrings.xml><?xml version="1.0" encoding="utf-8"?>
<sst xmlns="http://schemas.openxmlformats.org/spreadsheetml/2006/main" count="4756" uniqueCount="1489">
  <si>
    <r>
      <rPr>
        <b/>
        <u/>
        <sz val="12"/>
        <color theme="1"/>
        <rFont val="Arial"/>
        <family val="2"/>
      </rPr>
      <t>English:</t>
    </r>
    <r>
      <rPr>
        <sz val="12"/>
        <color theme="1"/>
        <rFont val="Arial"/>
        <family val="2"/>
      </rPr>
      <t xml:space="preserve"> Select the language below (line B10)</t>
    </r>
  </si>
  <si>
    <r>
      <rPr>
        <b/>
        <u/>
        <sz val="12"/>
        <color theme="1"/>
        <rFont val="Arial"/>
        <family val="2"/>
      </rPr>
      <t>Français:</t>
    </r>
    <r>
      <rPr>
        <sz val="12"/>
        <color theme="1"/>
        <rFont val="Arial"/>
        <family val="2"/>
      </rPr>
      <t xml:space="preserve"> Veuillez choisir la langue ci-dessous (rangée B10)</t>
    </r>
  </si>
  <si>
    <r>
      <rPr>
        <b/>
        <u/>
        <sz val="12"/>
        <color theme="1"/>
        <rFont val="Arial"/>
        <family val="2"/>
      </rPr>
      <t>Español:</t>
    </r>
    <r>
      <rPr>
        <sz val="12"/>
        <color theme="1"/>
        <rFont val="Arial"/>
        <family val="2"/>
      </rPr>
      <t xml:space="preserve"> Seleccione el idioma abajo (fila B10)</t>
    </r>
  </si>
  <si>
    <t>English</t>
  </si>
  <si>
    <t>PRIORITIZED ABOVE ALLOCATION REQUEST (PAAR)</t>
  </si>
  <si>
    <t>Version: August 2018</t>
  </si>
  <si>
    <r>
      <rPr>
        <b/>
        <u/>
        <sz val="12"/>
        <color theme="1"/>
        <rFont val="Arial"/>
        <family val="2"/>
      </rPr>
      <t>English:</t>
    </r>
    <r>
      <rPr>
        <sz val="12"/>
        <color theme="1"/>
        <rFont val="Arial"/>
        <family val="2"/>
      </rPr>
      <t xml:space="preserve"> Select the language below (line B12)</t>
    </r>
  </si>
  <si>
    <r>
      <rPr>
        <b/>
        <u/>
        <sz val="12"/>
        <color theme="1"/>
        <rFont val="Arial"/>
        <family val="2"/>
      </rPr>
      <t>Français:</t>
    </r>
    <r>
      <rPr>
        <sz val="12"/>
        <color theme="1"/>
        <rFont val="Arial"/>
        <family val="2"/>
      </rPr>
      <t xml:space="preserve"> Veuillez choisir la langue ci-dessous (rangée B12)</t>
    </r>
  </si>
  <si>
    <r>
      <rPr>
        <b/>
        <u/>
        <sz val="12"/>
        <color theme="1"/>
        <rFont val="Arial"/>
        <family val="2"/>
      </rPr>
      <t>Español:</t>
    </r>
    <r>
      <rPr>
        <sz val="12"/>
        <color theme="1"/>
        <rFont val="Arial"/>
        <family val="2"/>
      </rPr>
      <t xml:space="preserve"> Seleccione el idioma abajo (fila B12)</t>
    </r>
  </si>
  <si>
    <t>Language</t>
  </si>
  <si>
    <t>SUMMARY INFORMATION</t>
  </si>
  <si>
    <t>Country</t>
  </si>
  <si>
    <t>Component(s)</t>
  </si>
  <si>
    <t>Funding request this request relates to</t>
  </si>
  <si>
    <t>Currency</t>
  </si>
  <si>
    <t>Total above allocation request</t>
  </si>
  <si>
    <t>CONTEXTUAL INFORMATION</t>
  </si>
  <si>
    <t>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For additional space, the applicant can expand the row height for a bigger box to include rationale</t>
  </si>
  <si>
    <t>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t>
  </si>
  <si>
    <t>Applicant priority rating</t>
  </si>
  <si>
    <t>Module</t>
  </si>
  <si>
    <t xml:space="preserve">Intervention </t>
  </si>
  <si>
    <t>Amount requested</t>
  </si>
  <si>
    <t>Amount requested (USD)</t>
  </si>
  <si>
    <t>Brief Rationale, including expected outcomes and impact 
(explain how the request builds on the allocation)</t>
  </si>
  <si>
    <t>TRP recommended amount</t>
  </si>
  <si>
    <t>TRP recommended amount (USD)</t>
  </si>
  <si>
    <t>TRP priority rating</t>
  </si>
  <si>
    <t>TRP brief rational (only mandatory for "not quality demand", "partially recommended" amounts and when the priority rating differs)</t>
  </si>
  <si>
    <t>TOTAL AMOUNT</t>
  </si>
  <si>
    <t>ADDITIONAL INFORMATION</t>
  </si>
  <si>
    <t>Instructions for Applicant:
• Select the corresponding module
• Select the corresponding intervention
• Enter the corresponding requested amount
• Enter the additional information you wish to add to the Brief Rationale section from the tab "Applicant-Candidat-Solicitante"</t>
  </si>
  <si>
    <t>Intervention</t>
  </si>
  <si>
    <t>Additional rationale</t>
  </si>
  <si>
    <t>Language2</t>
  </si>
  <si>
    <t>Document Title</t>
  </si>
  <si>
    <t>Version</t>
  </si>
  <si>
    <t>Header 1</t>
  </si>
  <si>
    <t>Summary Info 1</t>
  </si>
  <si>
    <t>Summary Info 2</t>
  </si>
  <si>
    <t>Summary Info 3</t>
  </si>
  <si>
    <t>Summary Info 4</t>
  </si>
  <si>
    <t>Summary Info 5</t>
  </si>
  <si>
    <t>Header 2</t>
  </si>
  <si>
    <t>Header 2 Instructions</t>
  </si>
  <si>
    <t>Header 3</t>
  </si>
  <si>
    <t>Header 3 Instructions</t>
  </si>
  <si>
    <t>PAAR 1</t>
  </si>
  <si>
    <t>PAAR 2</t>
  </si>
  <si>
    <t>PAAR 3</t>
  </si>
  <si>
    <t>PAAR 4</t>
  </si>
  <si>
    <t>PAAR 5</t>
  </si>
  <si>
    <t>PAAR 6</t>
  </si>
  <si>
    <t>PAAR 7</t>
  </si>
  <si>
    <t>PAAR 8</t>
  </si>
  <si>
    <t>PAAR 9</t>
  </si>
  <si>
    <t>PAAR 10</t>
  </si>
  <si>
    <t>PAAR 11</t>
  </si>
  <si>
    <t>Header 4</t>
  </si>
  <si>
    <t>Header 4 Instructions</t>
  </si>
  <si>
    <t>Additional Info 1</t>
  </si>
  <si>
    <t>Additional Info 2</t>
  </si>
  <si>
    <t>Additional Info 3</t>
  </si>
  <si>
    <t>Additional Info 4</t>
  </si>
  <si>
    <r>
      <t xml:space="preserve">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t>
    </r>
    <r>
      <rPr>
        <b/>
        <sz val="11"/>
        <color theme="1"/>
        <rFont val="Calibri"/>
        <family val="2"/>
        <scheme val="minor"/>
      </rPr>
      <t>For additional space, the applicant can expand the row height for a bigger box to include rationale</t>
    </r>
  </si>
  <si>
    <r>
      <t xml:space="preserve">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
    </r>
    <r>
      <rPr>
        <b/>
        <sz val="11"/>
        <color theme="1"/>
        <rFont val="Calibri"/>
        <family val="2"/>
        <scheme val="minor"/>
      </rPr>
      <t>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t>
    </r>
  </si>
  <si>
    <t>Français</t>
  </si>
  <si>
    <t>Langue</t>
  </si>
  <si>
    <r>
      <t>Version: Ao</t>
    </r>
    <r>
      <rPr>
        <sz val="11"/>
        <color theme="1"/>
        <rFont val="Calibri"/>
        <family val="2"/>
      </rPr>
      <t>ût</t>
    </r>
    <r>
      <rPr>
        <sz val="11"/>
        <color theme="1"/>
        <rFont val="Calibri"/>
        <family val="2"/>
        <scheme val="minor"/>
      </rPr>
      <t xml:space="preserve"> 2018</t>
    </r>
  </si>
  <si>
    <t>RESUME D'INFORMATION</t>
  </si>
  <si>
    <t>Composante(s)</t>
  </si>
  <si>
    <t>Demande de financement reliée à cette requête</t>
  </si>
  <si>
    <t>Devise</t>
  </si>
  <si>
    <t>Montant total du PAAR</t>
  </si>
  <si>
    <t>INFORMATION CONTEXTUELLE</t>
  </si>
  <si>
    <r>
      <t xml:space="preserve">Fournir des informations contextuelles pertinentes à la demande hiérarchisée de financement au-delà de la somme allouée, en expliquant pourquoi les modules clés proposés sont priorisés pour un financement supplémentaire. La réponse peut inclure par exemple:
• les faits saillants du contexte épidémiologique
• des lacunes programmatiques exceptionnelles qui doivent être corrigées
• toutes les considérations ou données qui ont informé la demande
• des explications clarifiant les liens avec la demande de financement de l'allocation
</t>
    </r>
    <r>
      <rPr>
        <b/>
        <sz val="11"/>
        <color theme="1"/>
        <rFont val="Calibri"/>
        <family val="2"/>
        <scheme val="minor"/>
      </rPr>
      <t>Pour plus d'espace, le candidat peut augmenter la largeur et la hauteur de chaque cellule.</t>
    </r>
  </si>
  <si>
    <r>
      <t xml:space="preserve">Fournir dans le tableau ci-dessous une demande prioritaire supérieure à la somme allouée qui, si jugée techniquement solide et stratégiquement centréee par le TRP, pourrait être financée en utilisant les économies ou les ressources identifiées lors de l'octroi des subventions, ou inscrite au registre des demandes de qualité non financées pour être financée si des ressources devenaient disponibles auprès du Fonds mondial ou d'autres acteurs de financement (par exemple des donateurs privés et des mécanismes publics approuvés tels qu'UNITAID et Debt2Health). Cette demande d'allocation ci-dessus devrait présenter une approche d'investissement cohérente avec un nombre limité d'interventions destinées à avoir un impact élevé et inclure une justification claire et détaillée devant être alignée à la programmation de l'allocation. Le demandeur doit indiquer un ordre de priorité relatif au financement de chaque intervention ou ensemble d'interventions demandées (priorité élevée, moyenne ou faible), si des ressources supplémentaires deviennent disponibles. Conformément à la stratégie du Fonds mondial visant à maximiser l'impact et à mettre fin aux épidémies, la demande d'allocation prioritaire ci-dessus devrait être ambitieuse (par exemple, représenter au moins 30-50% du montant de l'allocation).
Note: Les modules / interventions de la demande doivent être classés par ordre d'importance décroissante (avec le niveau de priorité «élevé», indiquant la priorité / importance). Afin de s'aligner aux modules et interventions du Fonds mondial, veuillez les sélectionner dans la liste.
</t>
    </r>
    <r>
      <rPr>
        <b/>
        <sz val="11"/>
        <color theme="1"/>
        <rFont val="Calibri"/>
        <family val="2"/>
        <scheme val="minor"/>
      </rPr>
      <t>Guide de table pour le candidat
• Sélectionner UNIQUEMENT les modules et les interventions proposés et normalisés du Fonds mondial 
• Pour plus d'espace, le candidat peut augmenter la largeur et la hauteur de chaque cellule et / ou insérer et fusionner des cellules supplémentaires pour une boîte plus grande afin d'inclure une justification
• Si le candidat souhaite ajouter des interventions, il peut inserer des lignes.
• Si l'espace donné dans la Brève justification n'est pas assez, seulement si absolument nécessaire, le candidat peut utiliser la deuxième tab "Add Info-Info Supp-Info Ad" and suivre les instructions qui y sont données.</t>
    </r>
  </si>
  <si>
    <t>Cote de priorité (par le candidat)</t>
  </si>
  <si>
    <t>Montant demandé</t>
  </si>
  <si>
    <t>Montant demandé (USD)</t>
  </si>
  <si>
    <t>MONTANT TOTAL</t>
  </si>
  <si>
    <t>Instruction pour le candidat: 
• Entrer le module concerné
• Entrer l'intervention concernée
• Entrer le montant demandé concerné
• Entrer les informations additionnelles que vous voulez ajouter à la justification de la tab principale "Applicant-Candidat-Solicitante"</t>
  </si>
  <si>
    <t>Justification supplémentaire</t>
  </si>
  <si>
    <t>Español</t>
  </si>
  <si>
    <t>Idioma</t>
  </si>
  <si>
    <r>
      <t>Versi</t>
    </r>
    <r>
      <rPr>
        <sz val="11"/>
        <color theme="1"/>
        <rFont val="Calibri"/>
        <family val="2"/>
      </rPr>
      <t>ó</t>
    </r>
    <r>
      <rPr>
        <sz val="11"/>
        <color theme="1"/>
        <rFont val="Calibri"/>
        <family val="2"/>
        <scheme val="minor"/>
      </rPr>
      <t>n: Agosto 2018</t>
    </r>
  </si>
  <si>
    <t>INFORMACIÓN RESUMIDA</t>
  </si>
  <si>
    <t>Componente(s)</t>
  </si>
  <si>
    <t>Solicitud de financiamiento relacionada con esta solicitud de monto por encima de la asignación</t>
  </si>
  <si>
    <t>Moneda</t>
  </si>
  <si>
    <t xml:space="preserve">Total de solicitud de monto por encima de la asignación </t>
  </si>
  <si>
    <t>INFORMACIÓN CONTEXTUAL</t>
  </si>
  <si>
    <r>
      <t xml:space="preserve">Aporte información contextual relevante a la solicitud de monto por encima de la asignación, explicando por qué los módulos clave propuestos tienen prioridad para financiamiento adicional. La respuesta puede incluir, por ejemplo:
• puntos destacados del contexto epidemiológico
• deficiencias programáticas pendientes que deben abordarse
• consideraciones o datos que informaron la solicitud
• explicaciones clarificando los vínculos con el financiamiento asignado
</t>
    </r>
    <r>
      <rPr>
        <b/>
        <sz val="11"/>
        <color theme="1"/>
        <rFont val="Calibri"/>
        <family val="2"/>
        <scheme val="minor"/>
      </rPr>
      <t>Si necesita espacio adicional, el solicitante puede ampliar el ancho y alto de cada celda y / o insertar y fusionar celdas adicionales para obtener un espacio mayor para la justificación</t>
    </r>
  </si>
  <si>
    <r>
      <t xml:space="preserve">En la tabla inferior, detalle la solicitud priorizada de monto por encima de la asignación que, de ser considerada técnicamente sólida y con enfoque estratégico por el PRT, podría ser financiada con ahorros o eficiencias identificados durante la preparación de la subvención, o ser inscrita en el Registro de Demanda de Calidad No Financiada cuyo financiamiento depende de que se obtengan nuevos recursos del Fondo Mundial u otros actores (por ejemplo, donantes privados y mecanismos públicos aprobados como UNITAID y Debt2Health). La solicitud de monto por encima de la asignación debe presentar un enfoque de inversión coherente con un número limitado de intervenciones destinadas a lograr un alto impacto e incluir una justificación clara y detallada, y debe estar en consonancia con la programación de la asignación. El solicitante debe indicar un orden de prioridad relativa para financiar cada intervención o conjunto de intervenciones solicitadas (alta, media o baja prioridad), si hay recursos adicionales disponibles. De acuerdo con la Estrategia del Fondo Mundial para maximizar el impacto y poner fin a las epidemias, la solicitud priorizada de monto por encima de la asignación debe ser ambiciosa (por ejemplo, ha de representar al menos entre el 30% y el 50% del monto de la asignación).     
Nota: Los módulos / intervenciones de la solicitud deben clasificarse por orden de importancia decreciente (donde un nivel de prioridad "alto" representa la más alta prioridad/importancia). Para alinearse con los módulos e intervenciones del Fondo Mundial, selecciónelos de cada menú desplegable.
</t>
    </r>
    <r>
      <rPr>
        <b/>
        <sz val="11"/>
        <color theme="1"/>
        <rFont val="Calibri"/>
        <family val="2"/>
        <scheme val="minor"/>
      </rPr>
      <t>Cuadro de orientación para el solcitante
•Seleccione los módulos e intervenciones estandarizados del Fondo Mundial
• Si necesita espacio adicional, el solicitante puede ampliar el ancho y alto de cada celda y / o insertar y fusionar celdas adicionales para obtener un espacio mayor para la justificación
• Si el solicitante desea incluir más intervenciones, puede insertar filas adionales
• Si en el campo "Breve justificación" no hay espacio suficiente, sólo si absolutamente necesario, el solicitante puede usar la hoja "Add Info-Info Supp-Info Ad" y seguir las instrucciones disponibles.</t>
    </r>
  </si>
  <si>
    <t>Nivel de prioridad (para el Solicitante)</t>
  </si>
  <si>
    <t>Módulo</t>
  </si>
  <si>
    <t>Intervenciones</t>
  </si>
  <si>
    <t>Monto solicitado</t>
  </si>
  <si>
    <t>Monto solicitado (USD)</t>
  </si>
  <si>
    <t>MONTO TOTAL</t>
  </si>
  <si>
    <t>Instrucciones para el solicitante:
• Escribe el módulo correspondiente
• Escribe la intervención correspondiente
• Escribe el monto solicitado correspondiente
• Escribe la información adicional que desea agregar a la justificación en la hoja principal "Applicant-Candidat-Solicitante"</t>
  </si>
  <si>
    <t>Intervención</t>
  </si>
  <si>
    <t>Justificación adicional</t>
  </si>
  <si>
    <t>Component</t>
  </si>
  <si>
    <t>Applicant Priority Rating</t>
  </si>
  <si>
    <t>HIV/AIDS</t>
  </si>
  <si>
    <t>USD</t>
  </si>
  <si>
    <t>Comprehensive prevention programs for men who have sex with men</t>
  </si>
  <si>
    <t>Prevention programs for general population</t>
  </si>
  <si>
    <t>Behavioral interventions as part of programs for the general population</t>
  </si>
  <si>
    <t>Tuberculosis</t>
  </si>
  <si>
    <t>EUR</t>
  </si>
  <si>
    <t>Comprehensive prevention programs for people who inject drugs and their partners</t>
  </si>
  <si>
    <t>Condoms as part of programs for the general population</t>
  </si>
  <si>
    <t>Malaria</t>
  </si>
  <si>
    <t>Comprehensive prevention programs for sex workers and their clients</t>
  </si>
  <si>
    <t>Male circumcision</t>
  </si>
  <si>
    <t>RSSH</t>
  </si>
  <si>
    <t>Comprehensive prevention programs for transgender people</t>
  </si>
  <si>
    <t>Diagnosis and treatment of sexually transmitted infections and other sexual health services for the general population</t>
  </si>
  <si>
    <t>TB/HIV</t>
  </si>
  <si>
    <t>Comprehensive programs for people in prisons and other closed settings</t>
  </si>
  <si>
    <t>Orphan and vulnerable children package</t>
  </si>
  <si>
    <t>Integrated</t>
  </si>
  <si>
    <t>HIV Testing Services</t>
  </si>
  <si>
    <t>Linkages between HIV programs and RMNCH</t>
  </si>
  <si>
    <t>VIH/SIDA</t>
  </si>
  <si>
    <t>Prevention of mother-to-child transmission</t>
  </si>
  <si>
    <t>Gender-based violence prevention and treatment programs for general population</t>
  </si>
  <si>
    <t>Tuberculose</t>
  </si>
  <si>
    <t>Prevention programs for adolescents and youth, in and out of school</t>
  </si>
  <si>
    <t>Other interventions for the general population</t>
  </si>
  <si>
    <t>Paludisme</t>
  </si>
  <si>
    <t>Community empowerment for men who have sex with men</t>
  </si>
  <si>
    <t>SRPS</t>
  </si>
  <si>
    <t>Prevention programs for other vulnerable populations</t>
  </si>
  <si>
    <t>Addressing stigma, discrimination and violence against men who have sex with men</t>
  </si>
  <si>
    <t>TB/VIH</t>
  </si>
  <si>
    <t>TRP Priority Rating</t>
  </si>
  <si>
    <t>Program management</t>
  </si>
  <si>
    <t>Behavioral interventions for men who have sex with men</t>
  </si>
  <si>
    <t>Integré</t>
  </si>
  <si>
    <t>Programs to reduce human rights-related barriers to HIV services</t>
  </si>
  <si>
    <t>Condoms and lubricant programming for men who have sex with men</t>
  </si>
  <si>
    <t>Pre-exposure prophylaxis (PrEP) for men who have sex with men</t>
  </si>
  <si>
    <t>Treatment, care and support</t>
  </si>
  <si>
    <t>Harm reduction interventions for men who have sex with men who inject drugs</t>
  </si>
  <si>
    <t>RSSH: Procurement and supply chain management systems</t>
  </si>
  <si>
    <t>HIV testing services for men who have sex with men</t>
  </si>
  <si>
    <t>SRSS</t>
  </si>
  <si>
    <t>RSSH: Health management information system and monitoring and evaluation</t>
  </si>
  <si>
    <t>Diagnosis and treatment of sexually transmitted infections and other sexual health services for men who have sex with men</t>
  </si>
  <si>
    <t>RSSH: Human resources for health, including community health workers</t>
  </si>
  <si>
    <t>Prevention and management of coinfections and comorbidities men who have sex with men</t>
  </si>
  <si>
    <t>Integrados</t>
  </si>
  <si>
    <t>RSSH: Integrated service delivery and quality improvement</t>
  </si>
  <si>
    <t>Interventions for young men who have sex with men</t>
  </si>
  <si>
    <t>RSSH: Financial management systems</t>
  </si>
  <si>
    <t>Other interventions for men who have sex with men</t>
  </si>
  <si>
    <t>RSSH: National health strategies</t>
  </si>
  <si>
    <t>Community empowerment for sex workers</t>
  </si>
  <si>
    <t>Disease</t>
  </si>
  <si>
    <t>RSSH: Community responses and systems</t>
  </si>
  <si>
    <t>Addressing stigma, discrimination and violence against sex workers</t>
  </si>
  <si>
    <t>RSSH: Program management</t>
  </si>
  <si>
    <t>Behavioral interventions for sex workers</t>
  </si>
  <si>
    <t>Multidrug-resistant TB</t>
  </si>
  <si>
    <t>Condoms and lubricant programming for sex workers</t>
  </si>
  <si>
    <t>Pre-exposure prophylaxis (PrEP) for sex workers</t>
  </si>
  <si>
    <t>TB care and prevention</t>
  </si>
  <si>
    <t>Harm reduction interventions for sex workers who inject drugs</t>
  </si>
  <si>
    <t>HIV testing services for sex workers</t>
  </si>
  <si>
    <t>Applicant Rating</t>
  </si>
  <si>
    <t>Diagnosis and treatment of sexually transmittedinfections and othersexual and reproductivehealth services for sex workers</t>
  </si>
  <si>
    <t>Prevention and management of co-infections and co-morbidities for sex workers</t>
  </si>
  <si>
    <t>Interventions for young people who sell sex</t>
  </si>
  <si>
    <t>Programmes de prévention complets destinés aux hommes ayant des rapports sexuels avec des hommes (HSH)</t>
  </si>
  <si>
    <t>Programas de prevención integral para hombres que tienen relaciones sexuales con hombres</t>
  </si>
  <si>
    <t>Other interventions for sex workers and their clients</t>
  </si>
  <si>
    <t>Programmes de prévention complets destinés aux consommateurs de drogues injectables et à leurs partenaires</t>
  </si>
  <si>
    <t>Programas de prevención integral para personas que consumen drogas y sus parejas</t>
  </si>
  <si>
    <t>Community empowerment for people who inject drugs</t>
  </si>
  <si>
    <t>Programmes de prévention complets destinés aux professionnels du sexe et à leurs clients</t>
  </si>
  <si>
    <t>Programas de prevención integral para trabajadores del sexo y sus clientes</t>
  </si>
  <si>
    <t>Addressing stigma, discrimination and violence against people who inject drugs</t>
  </si>
  <si>
    <t>Programmes de prévention complets destinés aux transgenres</t>
  </si>
  <si>
    <t>Programas de prevención integral para personas transgénero</t>
  </si>
  <si>
    <t>Behavioral interventions for people who inject drugs</t>
  </si>
  <si>
    <t>Programmes complets destinés aux personnes en détention ou se trouvant dans d'autres lieux fermés</t>
  </si>
  <si>
    <t>Programas integrales para personas privadas de libertad en centros penitenciarios y otros lugares de reclusión</t>
  </si>
  <si>
    <t>Condoms and lubricant programming for people who inject drugs</t>
  </si>
  <si>
    <t>Services de dépistage du VIH</t>
  </si>
  <si>
    <t>Servicios de diagnóstico de VIH</t>
  </si>
  <si>
    <t>Case management</t>
  </si>
  <si>
    <t>Overdose prevention and management</t>
  </si>
  <si>
    <t>Prévention de la transmission de la mère à l'enfant (PTME)</t>
  </si>
  <si>
    <t>PTMI</t>
  </si>
  <si>
    <t>HIV testing services for people who inject drugs</t>
  </si>
  <si>
    <t>Programmes de prévention destinés aux adolescents et aux jeunes, scolarisés ou non</t>
  </si>
  <si>
    <t>Programas de prevención para adolescentes y jóvenes, dentro y fuera de los centros educativos</t>
  </si>
  <si>
    <t>Specific prevention interventions</t>
  </si>
  <si>
    <t>Diagnosis and treatment of sexually transmitted infections and other sexual health services for people who inject drugs</t>
  </si>
  <si>
    <t>Programmes de prévention destinés à la population générale</t>
  </si>
  <si>
    <t>Programas de prevención para la población general</t>
  </si>
  <si>
    <t>Vector control</t>
  </si>
  <si>
    <t>Needle and syringe programs for people who inject drugs and their partners</t>
  </si>
  <si>
    <t>Programmes de prévention destinés aux autres populations vulnérables</t>
  </si>
  <si>
    <t>Programas de prevención para otras poblaciones vulnerables</t>
  </si>
  <si>
    <t>Opioid substitution therapy and other drug dependence treatment for people who inject drugs</t>
  </si>
  <si>
    <t>Gestion de programme</t>
  </si>
  <si>
    <t>Gestión de programas</t>
  </si>
  <si>
    <t>Prevention and management of co-infections and comorbidities for people who inject drugs</t>
  </si>
  <si>
    <t>Programmes visant à réduire les obstacles liés aux droits humains qui entravent l'accès aux services VIH</t>
  </si>
  <si>
    <t>Programas para reducir las barreras relacionadas a los derechos humanos para acceder a los servicios de VIH</t>
  </si>
  <si>
    <t>Interventions for young people who inject drugs</t>
  </si>
  <si>
    <t>Other interventions for people who inject drugs and their partners</t>
  </si>
  <si>
    <t>Traitement, prise en charge et soutien</t>
  </si>
  <si>
    <t>Tratamiento, atención y apoyo</t>
  </si>
  <si>
    <t>Community empowerment for transgender people</t>
  </si>
  <si>
    <t>SRPS: Systèmes de gestion des achats et de la chaîne d'approvisionnement</t>
  </si>
  <si>
    <t>SRSS: Sistemas de gestión de la cadena de adquisiciones y suministros</t>
  </si>
  <si>
    <t>Addressing stigma, discrimination and violence against transgender people</t>
  </si>
  <si>
    <t>SRPS: Système de gestion et d'information sanitaire et suivi et évaluation</t>
  </si>
  <si>
    <t>SRSS: Sistemas de información en salud y monitoreo y evaluación</t>
  </si>
  <si>
    <t>Behavioral interventions for transgender people</t>
  </si>
  <si>
    <t>SRPS: Ressources humaines pour la santé, y compris agents de santé communautaires</t>
  </si>
  <si>
    <t>SRSS: Recursos humanos para la salud, incluidos trabajadores de salud comunitarios</t>
  </si>
  <si>
    <t>Condoms and lubricant programming for transgender people</t>
  </si>
  <si>
    <t>SRPS: Prestation de services intégrés et amélioration de la qualité</t>
  </si>
  <si>
    <t>SRSS: Prestación de servicios integrados y mejora de la calidad</t>
  </si>
  <si>
    <t>Pre-exposure prophylaxis (PrEP) and other biomedical interventions for transgender people</t>
  </si>
  <si>
    <t>SRPS: Système de gestion financière</t>
  </si>
  <si>
    <t>SRSS: Sistemas de gestión financiera</t>
  </si>
  <si>
    <t>Harm reduction interventions for transgender people with substance use</t>
  </si>
  <si>
    <t>SRPS: Stratégies nationales de santé</t>
  </si>
  <si>
    <t>SRSS: Estrategias nacionales de salud</t>
  </si>
  <si>
    <t>HIV testing services for transgender people</t>
  </si>
  <si>
    <t>SRPS: Ripostes et systèmes communautaires</t>
  </si>
  <si>
    <t>SRSS: Respuestas y sistemas comunitarios</t>
  </si>
  <si>
    <t>Diagnosis and treatment of sexually transmitted infections and sexual health services for transgender people</t>
  </si>
  <si>
    <t>SRPS: Gestion de programme</t>
  </si>
  <si>
    <t>SRSS: Gestión de programas</t>
  </si>
  <si>
    <t>Prevention and management of co-infections and co-morbidities for transgender people</t>
  </si>
  <si>
    <t>Tuberculose multirésistante</t>
  </si>
  <si>
    <t>Tuberculosis multirresistente</t>
  </si>
  <si>
    <t>Interventions for young transgender people</t>
  </si>
  <si>
    <t>Prise en charge et prévention de la tuberculose</t>
  </si>
  <si>
    <t>Atención y prevención de la tuberculosis</t>
  </si>
  <si>
    <t>Other interventions for transgender people</t>
  </si>
  <si>
    <t>Prise en charge des cas</t>
  </si>
  <si>
    <t>Gestión de casos</t>
  </si>
  <si>
    <t>Community empowerment for people in prisons and other closed settings</t>
  </si>
  <si>
    <t>Interventions de prévention spécifiques</t>
  </si>
  <si>
    <t>Intervenciones de prevención específicas</t>
  </si>
  <si>
    <t>Addressing stigma, discrimination and violence against people in prisons and other closed settings</t>
  </si>
  <si>
    <t>Lutte antivectorielle</t>
  </si>
  <si>
    <t>Control de vectores</t>
  </si>
  <si>
    <t>Behavioral interventions for people in prisons and other closed settings</t>
  </si>
  <si>
    <t>Changement de comportement dans le cadre des programmes destinés à la population générale</t>
  </si>
  <si>
    <t>Cambio del comportamiento como parte de programas para la población general</t>
  </si>
  <si>
    <t>Condoms and lubricant programming for people in prisons and other closed settings</t>
  </si>
  <si>
    <t>Préservatifs dans le cadre des programmes destinés à la population générale</t>
  </si>
  <si>
    <t>Preservativos como parte de programas para la población general</t>
  </si>
  <si>
    <t>Pre-exposure prophylaxis (PrEP) for people in prisons and other closed settings</t>
  </si>
  <si>
    <t>Circoncision masculine</t>
  </si>
  <si>
    <t>Circuncisión masculina</t>
  </si>
  <si>
    <t>Harm reduction interventions for people in prisons and other closed settings</t>
  </si>
  <si>
    <t>Diagnostic et traitement des infections sexuellement transmissibles et autres services liés à la santé sexuelle pour la population générale</t>
  </si>
  <si>
    <t>Diagnóstico y tratamiento de ITS y otros servicios de salud sexual y reproductiva para la población general</t>
  </si>
  <si>
    <t>HIV testing services for people in prisons and other closed settings</t>
  </si>
  <si>
    <t>Paquet d'interventions pour les orphelins et les enfants vulnérables (OEV)</t>
  </si>
  <si>
    <t>Paquete para huérfanos y niños vulnerables</t>
  </si>
  <si>
    <t>Diagnosis and treatment of sexually transmitted infections and other sexual and reproductive health services for people in prisons and other closed settings</t>
  </si>
  <si>
    <t>Liens entre les programmes de lutte contre le VIH, et la santé reproductive maternelle, néonatale et infantile</t>
  </si>
  <si>
    <t>Vínculos entre programas de VIH y la salud sexual y reproductiva, materna, neonatal e infantil</t>
  </si>
  <si>
    <t>Prevention and management of coinfections and comorbidities for people in prisons and other closed settings</t>
  </si>
  <si>
    <t>Programmes de prévention et de traitement de la violence basée sur le genre</t>
  </si>
  <si>
    <t>Programas de prevención y tratamiento de la violencia de género para la población general</t>
  </si>
  <si>
    <t>Other interventions for people in prisons and other closed settings</t>
  </si>
  <si>
    <t>Autres interventions réalisées auprès de la population générale</t>
  </si>
  <si>
    <t>Otras intervenciones para la población general</t>
  </si>
  <si>
    <t>Behavioral interventions for other vulnerable populations</t>
  </si>
  <si>
    <t>Lutte contre la stigmatisation, la discrimination et la violence contre les HSH</t>
  </si>
  <si>
    <t>Empoderamiento de las comunidades a favor de los hombres que tienen relaciones sexuales con hombres</t>
  </si>
  <si>
    <t>Male and female condoms for other vulnerable populations</t>
  </si>
  <si>
    <t>Abordar el estigma, la discriminación y la violencia contra los hombres que tienen relaciones sexuales con hombres</t>
  </si>
  <si>
    <t>HIV testing services for other vulnerable populations</t>
  </si>
  <si>
    <t>Interventions pour le changement de comportement ciblant les HSH</t>
  </si>
  <si>
    <t>Intervenciones conductuales para hombres que tienen relaciones sexuales con hombres</t>
  </si>
  <si>
    <t>Diagnosis and treatment of sexually transmitted infections and other sexual health services for other vulnerable populations</t>
  </si>
  <si>
    <t>Interventions relatives aux préservatifs et aux lubrifiants pour les HSH</t>
  </si>
  <si>
    <t>Programas de preservativos y lubricantes para hombres que tienen relaciones sexuales con hombres</t>
  </si>
  <si>
    <t>Other interventions for other vulnerable populations</t>
  </si>
  <si>
    <t>Prophylaxie préexposition (PrEP) pour les HSH</t>
  </si>
  <si>
    <t>Profilaxis previa a la exposición para hombres que tienen relaciones sexuales con hombres</t>
  </si>
  <si>
    <t>Behavioral change as part of programs for adolescent and youth</t>
  </si>
  <si>
    <t>Interventions de réduction des risques parmi les HSH consommateurs de drogues injectables</t>
  </si>
  <si>
    <t>Intervenciones de reducción de daños para hombres que tienen relaciones sexuales con hombres que consumen drogas inyectables</t>
  </si>
  <si>
    <t>Male and female condoms for adolescents and youth, in and out of school</t>
  </si>
  <si>
    <t>Services de dépistage du VIH destinés au HSH</t>
  </si>
  <si>
    <t>Servicios de pruebas de VIH para hombres que tienen relaciones sexuales con hombres</t>
  </si>
  <si>
    <t>Gender-based violence prevention and treatment programs for adolescents and youth</t>
  </si>
  <si>
    <t>Diagnostic et traitement des infections sexuellement transmissibles et autres services liés à la santé sexuelle pour les HSH</t>
  </si>
  <si>
    <t>Diagnóstico y tratamiento de ITS y otros servicios de salud sexual y reproductiva para hombres que tienen relaciones sexuales con hombres</t>
  </si>
  <si>
    <t>Pre-exposure prophylaxis (PrEP) for adolescents and youth</t>
  </si>
  <si>
    <t>Prévention et gestion des co-infections et des comorbidités HSH</t>
  </si>
  <si>
    <t>Prevención y tratamiento de coinfecciones y comorbilidades para hombres que tienen relaciones sexuales con hombres</t>
  </si>
  <si>
    <t>HIV testing services for adolescents and youth, in and out of school</t>
  </si>
  <si>
    <t>Interventions destinées aux hjeunes hommes ayant des rapports sexuels avec des hommes</t>
  </si>
  <si>
    <t>Intervenciones para hombres jóvenes que tienen relaciones sexuales con hombres</t>
  </si>
  <si>
    <t>Community mobilization and norms change</t>
  </si>
  <si>
    <t>Autres interventions ciblant les HSH</t>
  </si>
  <si>
    <t>Otras intervenciones para hombres que tienen relaciones sexuales con hombres</t>
  </si>
  <si>
    <t>Addressing stigma, discrimination and legal barriers to care for adolescents and youth</t>
  </si>
  <si>
    <t>Autonomisation communautaire parmi les professionnels du sexe</t>
  </si>
  <si>
    <t>Empoderamiento de las comunidades a favor de los trabajadores sexuales</t>
  </si>
  <si>
    <t>Socioeconomic approaches</t>
  </si>
  <si>
    <t>Lutte contre la stigmatisation, la discrimination et la violence contre les professionnels du sexe</t>
  </si>
  <si>
    <t>Abordar el estigma, la discriminación y la violencia contra los trabajadores sexuales</t>
  </si>
  <si>
    <t>Interventions pour le changement de comportement ciblant les professionnels du sexe</t>
  </si>
  <si>
    <t>Intervenciones conductuales para trabajadores sexuales</t>
  </si>
  <si>
    <t>Keeping girls in school</t>
  </si>
  <si>
    <t>Interventions relatives aux préservatifs et aux lubrifiants pour les professionnels du sexe</t>
  </si>
  <si>
    <t>Programas de preservativos y lubricantes para trabajadores sexuales</t>
  </si>
  <si>
    <t>Other interventions for adolescent and youth</t>
  </si>
  <si>
    <t>Prophylaxie préexposition (PrEP) pour les professionnels de sexe</t>
  </si>
  <si>
    <t>Profilaxis previa a la exposición para trabajadores sexuales</t>
  </si>
  <si>
    <t>Prong 1: Primary prevention of HIV infection among women of childbearing age</t>
  </si>
  <si>
    <t>Interventions de réduction des risques parmi les professionnels du sexe consommateurs des drogues injectables</t>
  </si>
  <si>
    <t>Intervenciones de reducción de daños para trabajadores sexuales que se inyectan drogas</t>
  </si>
  <si>
    <t>Prong 2: Preventing unintended pregnancies among women living with HIV</t>
  </si>
  <si>
    <t>Services de dépistage du VIH destinés aux professionnels du sexe</t>
  </si>
  <si>
    <t>Servicios de pruebas de VIH para trabajadores sexuales</t>
  </si>
  <si>
    <t>Prong 3: Preventing vertical HIV transmission</t>
  </si>
  <si>
    <t>Diagnostic et traitement des IST et autres services liés à la santé sexuelle et reproductive pour les professionnels du sexe</t>
  </si>
  <si>
    <t>Diagnóstico y tratamiento de ITS y otros servicios de salud sexual y reproductiva para trabajadores sexuales</t>
  </si>
  <si>
    <t>Prong 4: Treatment, care and support to mothers living with HIV, their children and families</t>
  </si>
  <si>
    <t>Prévention et gestion des co-infections et des comorbidités pour les professionnels du sexe</t>
  </si>
  <si>
    <t>Prevención y tratamiento de coinfecciones y comorbilidades para trabajadores sexuales</t>
  </si>
  <si>
    <t>Other interventions for PMTCT</t>
  </si>
  <si>
    <t>Interventions destinées aux jeunes ayant des rapports sexuels payants</t>
  </si>
  <si>
    <t>Intervenciones para jóvenes trabajadores sexuales</t>
  </si>
  <si>
    <t>Differentiated HIV testing services</t>
  </si>
  <si>
    <t>Autres interventions ciblant les professionnels du sexe et de leurs clients</t>
  </si>
  <si>
    <t>Otras intervenciones para trabajadores sexuales y sus clientes</t>
  </si>
  <si>
    <t>HIV care</t>
  </si>
  <si>
    <t>Autonomisation communautaire parmi les consommateurs de drogues injectables</t>
  </si>
  <si>
    <t>Empoderamiento de las comunidades a favor de personas que se inyectan drogas</t>
  </si>
  <si>
    <t>Differentiated antiretroviral therapy service delivery</t>
  </si>
  <si>
    <t>Lutte contre la stigmatisation, la discrimination et la violence contre les consommateurs de drogues injectables</t>
  </si>
  <si>
    <t>Abordar el estigma, la discriminación y la violencia contra personas que consumen drogas inyectables</t>
  </si>
  <si>
    <t>Treatment monitoring - drug resistance surveillance</t>
  </si>
  <si>
    <t>Interventions pour le changement de comportement ciblant les usagers de drogues injectables</t>
  </si>
  <si>
    <t>Intervenciones conductuales para personas que consumen drogas inyectables</t>
  </si>
  <si>
    <t>Treatment monitoring – Viral load</t>
  </si>
  <si>
    <t>Programmes relatifs aux préservatifs et aux lubrifiants pour les consommateurs de drogues injectables</t>
  </si>
  <si>
    <t>Programas de preservativos y lubricantes para personas que consumen drogas inyectables</t>
  </si>
  <si>
    <t>Treatment adherence</t>
  </si>
  <si>
    <t>Prévention et gestion des overdoses</t>
  </si>
  <si>
    <t>Prevención y tratamiento de la sobredosis</t>
  </si>
  <si>
    <t>Prevention, diagnosis and treatment of opportunistic infections</t>
  </si>
  <si>
    <t>Services de dépistage du VIH destinés aux consommateurs de drogues injectables</t>
  </si>
  <si>
    <t>Servicios de pruebas de VIH para personas que consumen drogas inyectables</t>
  </si>
  <si>
    <t>Counseling and psycho-social support</t>
  </si>
  <si>
    <t>Diagnostic et traitement des infections sexuellement transmissibles et autres services liés à la santé sexuelle pour les consommateurs de drogues injectables</t>
  </si>
  <si>
    <t>Diagnóstico y tratamiento de ITS y otros servicios de salud sexual y reproductiva para personas que consumen drogas inyectables</t>
  </si>
  <si>
    <t>Other interventions for treatment</t>
  </si>
  <si>
    <t>Interventions liées aux aiguilles et aux seringues destinées aux consommateurs de drogues injectables et à leurs partenaires</t>
  </si>
  <si>
    <t>Programas de agujas y jeringas para personas que consumen drogas inyectables y sus parejas</t>
  </si>
  <si>
    <t>TB/HIV collaborative interventions</t>
  </si>
  <si>
    <t>Traitement de substitution aux opiacés et autre drogue de dépendance pour les consommateurs de drogues injectables</t>
  </si>
  <si>
    <t>Terapia de sustitución de opiáceos y otros tratamientos para la drogodependencia de personas que consumen drogas inyectables</t>
  </si>
  <si>
    <t>Engaging all care providers (TB/HIV)</t>
  </si>
  <si>
    <t>Prévention et gestion des co-infections et des comorbidités pour les consommateurs de drogues injectables</t>
  </si>
  <si>
    <t>Prevención y tratamiento de coinfecciones y comorbilidades para personas que consumen drogas inyectables</t>
  </si>
  <si>
    <t>Community TB/HIV care delivery</t>
  </si>
  <si>
    <t>Interventions destinées aux jeunes consommateurs de drogues injectables</t>
  </si>
  <si>
    <t>Intervenciones para jóvenes que consumen drogas inyectables</t>
  </si>
  <si>
    <t>Key populations (TB/HIV) – prisoners</t>
  </si>
  <si>
    <t>Autres interventions ciblant les consommateurs de drogues injectables et de leurs partenaires</t>
  </si>
  <si>
    <t>Otras intervenciones para personas que consumen drogas inyectables y sus parejas</t>
  </si>
  <si>
    <t>Key populations (TB/HIV) – Others</t>
  </si>
  <si>
    <t>Autonomisation communautaires parmi les transgenres</t>
  </si>
  <si>
    <t>Empoderamiento de las comunidades a favor de personas transgénero</t>
  </si>
  <si>
    <t>Collaborative activities with other programs and sectors (TB/HIV)</t>
  </si>
  <si>
    <t>Lutte contre la stigmatisation, la disrimination et la violence contre les transgenres</t>
  </si>
  <si>
    <t>Abordar el estigma, la discriminación y la violencia contra personas transgénero</t>
  </si>
  <si>
    <t>Removing human rights- and gender-related barriers to TB/ HIV collaborative programming</t>
  </si>
  <si>
    <t>Interventions pour le changement de comportement parmi les transgenres</t>
  </si>
  <si>
    <t>Intervenciones conductuales para personas transgénero</t>
  </si>
  <si>
    <t>Other TB/HIV intervention(s)</t>
  </si>
  <si>
    <t>Programmes relatifs aux préservatifs et aux lubrifiants pour les transgenres</t>
  </si>
  <si>
    <t>Programas de preservativos y lubricantes para personas transgénero</t>
  </si>
  <si>
    <t>Stigma and discrimination reduction</t>
  </si>
  <si>
    <t>Prophylaxie préexposition et autres interventions biomédicales pour les transgenres</t>
  </si>
  <si>
    <t>Profilaxis previa a la exposición y otras intervenciones biomédicas para personas transgénero</t>
  </si>
  <si>
    <t>Legal literacy (“Know Your Rights”)</t>
  </si>
  <si>
    <t>Interventions de réduction des risques liés à la consommation de drogues pour les transgenres</t>
  </si>
  <si>
    <t>Intervenciones de reducción de daños para personas transgénero que consumen drogas</t>
  </si>
  <si>
    <t>Training of health care providers on human rights and medical ethics related to HIV and HIV/TB</t>
  </si>
  <si>
    <t>Services de dépistage du VIH destinés aux transgenres</t>
  </si>
  <si>
    <t>Servicios de diagnóstico de VIH para personas transgénero</t>
  </si>
  <si>
    <t>HIV and HIV/TB-related legal services</t>
  </si>
  <si>
    <t>Diagnostic et traitement des IST et services liés à la santé sexuelle pour les transgenres</t>
  </si>
  <si>
    <t>Diagnóstico y tratamiento de ITS y servicios de salud sexual y reproductiva para personas transgénero</t>
  </si>
  <si>
    <t>Sensitization of lawmakers and law enforcement agents</t>
  </si>
  <si>
    <t>Prévention et gestion des co-infections et des comorbidités pour les transgenres</t>
  </si>
  <si>
    <t>Prevención y tratamiento de coinfecciones y comorbilidades para personas transgénero</t>
  </si>
  <si>
    <t>Improving laws, regulations and polices relating to HIV and HIV/TB</t>
  </si>
  <si>
    <t>Interventions destinées aux jeunes transgenres</t>
  </si>
  <si>
    <t>Intervenciones para jóvenes transgénero</t>
  </si>
  <si>
    <t>Reducing HIV-related gender discrimination, harmful gender norms and violence against women and girls in all their diversity</t>
  </si>
  <si>
    <t>Autres interventions ciblant les transgenres</t>
  </si>
  <si>
    <t>Otras intervenciones para personas transgénero</t>
  </si>
  <si>
    <t>Other intervention(s) to reduce human rightsrelated barriers to HIV services</t>
  </si>
  <si>
    <t>Autonomisation communautaire parmi les personnes en détention ou se trouvant dans d'autres lieux fermés</t>
  </si>
  <si>
    <t>Empoderamiento de las comunidades en favor de personas privadas de libertad en centros penitenciarios y otros lugares de reclusión</t>
  </si>
  <si>
    <t>Policy, planning, coordination and management of national disease control programs</t>
  </si>
  <si>
    <t>Lutte contre la stigmatisation, la discrimination et la violence contre les personnes en détention ou se trouvant dans d'autres lieux fermés</t>
  </si>
  <si>
    <t>Abordar el estigma, la discriminación y la violencia contra personas en centros penitenciarios y otros lugares de reclusión</t>
  </si>
  <si>
    <t>Grant management</t>
  </si>
  <si>
    <t>Interventions pour le changement de comportement parmi les personnes en détention ou se trouvant dans d'autres lieux fermés</t>
  </si>
  <si>
    <t>Intervenciones conductuales para personas privadas de libertad en centros penitenciarios y otros lugares de reclusión</t>
  </si>
  <si>
    <t>Other program management intervention(s)</t>
  </si>
  <si>
    <t>Programmes relatifs aux préservatifs et aux lubrifiants pour les personnes en détention ou se trouvant dans d'autres lieux fermés</t>
  </si>
  <si>
    <t>Programas de preservativos y lubricantes para personas en centros penitenciarios y otros lugares de reclusión</t>
  </si>
  <si>
    <t>Case detection and diagnosis</t>
  </si>
  <si>
    <t>Prophylaxie préexposition (PrEP) pour les personnes en détention ou se trouvant dans d'autres lieux fermés</t>
  </si>
  <si>
    <t>Profilaxis previa a la exposición (PrEP) para personas privadas de libertad en centros penitenciarios y otros lugares de reclusión</t>
  </si>
  <si>
    <t>Treatment</t>
  </si>
  <si>
    <t>Interventions de réduction des risques parmi les personnes en détention ou se trouvant dans d'autres lieux fermés</t>
  </si>
  <si>
    <t>Intervenciones de reducción de daños para personas privadas de libertad en centros penitenciarios y otros lugares de reclusión</t>
  </si>
  <si>
    <t>Prevention</t>
  </si>
  <si>
    <t>Services de dépistage du VIH destinés aux personnes en détention ou se trouvant dans d'autres lieux fermés</t>
  </si>
  <si>
    <t>Servicios de diagnóstico de VIH para personas privadas de libertad en centros penitenciarios y otros lugares de reclusión</t>
  </si>
  <si>
    <t>Engaging all care providers (TB care and prevention)</t>
  </si>
  <si>
    <t>Diagnostic et traitement des IST et autres srvices liés à la santé sexuelle et reproductive pour les personnes en détention ou se trouvant dans d'autres lieux fermés</t>
  </si>
  <si>
    <t>Diagnóstico y tratamiento de ITS y otros servicios de salud sexual y reproductiva para personas privadas de libertad en centros penitenciarios y otros lugares de reclusión</t>
  </si>
  <si>
    <t>Community TB care delivery</t>
  </si>
  <si>
    <t>Prévention et gestion des co-infections et des comorbidités pour les personnes en détention ou se trouvant dans d'autres lieux fermés</t>
  </si>
  <si>
    <t>Prevención y tratamiento de coinfecciones y comorbilidades para personas privadas de libertad en centros penitenciarios y otros lugares de reclusión</t>
  </si>
  <si>
    <t>Key populations (TB care and prevention) – Prisoners</t>
  </si>
  <si>
    <t>Autres interventions ciblant les personnes en détention ou se trouvant dans d'autres lieux fermés</t>
  </si>
  <si>
    <t>Otras intervenciones para personas privadas de libertad en centros penitenciarios y otros lugares de reclusión</t>
  </si>
  <si>
    <t>Key populations (TB care and prevention) – Others</t>
  </si>
  <si>
    <t>Interventions pour le changement de comportement parmi les autres populations vulnérables</t>
  </si>
  <si>
    <t>Intervenciones conductuales para otras poblaciones vulnerables</t>
  </si>
  <si>
    <t>Collaborative activities with other programs and sectors (TB care and prevention)</t>
  </si>
  <si>
    <t>Préservatifs féminins et masculins pour les autres populations vulnérables</t>
  </si>
  <si>
    <t>Preservativos masculinos y femeninos para otras poblaciones vulnerables</t>
  </si>
  <si>
    <t>Removing human rights- and gender-related barriers to TB care and prevention</t>
  </si>
  <si>
    <t>Services de dépistage du VIH destinés aux autres populations vulnérables</t>
  </si>
  <si>
    <t>Servicios de diagnósticos de VIH para otras poblaciones vulnerables</t>
  </si>
  <si>
    <t>Other TB care and prevention intervention(s)</t>
  </si>
  <si>
    <t>Diagnostic et traitement dees IST et autres services liés à la santé sexuelle pour les autres populations vulnérables</t>
  </si>
  <si>
    <t>Diagnóstico y tratamiento de ITS y otros servicios de salud sexual y reproductiva para otras poblaciones vulnerables</t>
  </si>
  <si>
    <t>Case detection and diagnosis: MDR-TB</t>
  </si>
  <si>
    <t>Autres interventions ciblant les autres populations vulnérables</t>
  </si>
  <si>
    <t>Otras intervenciones para otras poblaciones vulnerables</t>
  </si>
  <si>
    <t>Treatment: MDR-TB</t>
  </si>
  <si>
    <t>Changement des comportements dans le cadre des programmes destinés aux adolescents et aux jeunes</t>
  </si>
  <si>
    <t>Intervenciones para cambio del comportamiento como parte de programas para adolescentes y jóvenes</t>
  </si>
  <si>
    <t>Prevention for MDR-TB</t>
  </si>
  <si>
    <t>Préservatifs féminins et masculins pour les adolescents et les jeunes, scolarisés ou non</t>
  </si>
  <si>
    <t>Preservativos masculinos y femeninos para adolescentes y jóvenes, dentro y fuera de los centros educativos</t>
  </si>
  <si>
    <t>Engaging all care providers (MDR-TB)</t>
  </si>
  <si>
    <t>Programmes de prévention et de traitement de la violence basée sur le genre pour les adolescents et les jeunes</t>
  </si>
  <si>
    <t>Programas de prevención y tratamiento de la violencia de género para adolescentes y jóvenes</t>
  </si>
  <si>
    <t>Community MDR-TB care delivery</t>
  </si>
  <si>
    <t>Prophylaxie préexposition (PrEP) par voir orale pour les adolescents et les jeunes</t>
  </si>
  <si>
    <t>Profilaxis previa a la exposición para adolescentes y jóvenes</t>
  </si>
  <si>
    <t>Key populations (MDR-TB) – Prisoners</t>
  </si>
  <si>
    <t>Services de dépistage du VIH destinés aux adolescents et aux jeunes, scolarisés ou non</t>
  </si>
  <si>
    <t>Servicios de diagnóstico de VIH para adolescentes y jóvenes, dentro y fuera de los centros educativos</t>
  </si>
  <si>
    <t>Key populations (MDR-TB) – Others</t>
  </si>
  <si>
    <t>Mobilisation communautaire et changement des normes</t>
  </si>
  <si>
    <t>Movilización comunitaria y cambio de normas</t>
  </si>
  <si>
    <t>Collaborative activities with other programs and sectors (MDR-TB)</t>
  </si>
  <si>
    <t>Lutte contre la stigmatisation, la discrimination et les obstacles jurifiques à l'accès aux soins</t>
  </si>
  <si>
    <t>Abordar el estigma, la discriminación y las barreras jurídicas en la atención a adolescentes y jóvenes</t>
  </si>
  <si>
    <t>Removing human rights- and gender-related barriers to MDR-TB treatment</t>
  </si>
  <si>
    <t>Approches socio-économiques</t>
  </si>
  <si>
    <t>Enfoques socioeconómicos</t>
  </si>
  <si>
    <t>Other MDR-TB intervention(s)</t>
  </si>
  <si>
    <t>Liens entre les programmes de lutte contre le VIH, les programmes de santé reproductive, maternelle, néonatale et infantile</t>
  </si>
  <si>
    <t>Vinculación entre los programas de VIH, salud sexual y reproductiva, materna, neonatal e infantil y tuberculosis para adolescentes, niñas y mujeres jóvenes</t>
  </si>
  <si>
    <t>Long-lasting insecticidal nets – Mass campaign</t>
  </si>
  <si>
    <t>Maintien des filles à l'école</t>
  </si>
  <si>
    <t>Mantener a las niñas en la escuela</t>
  </si>
  <si>
    <t>Long-lasting insecticidal nets – Continuous distribution</t>
  </si>
  <si>
    <t>Autres interventions ciblant les adolescents et des jeunes</t>
  </si>
  <si>
    <t>Otras intervenciones para adolescentes y jóvenes</t>
  </si>
  <si>
    <t>Indoor residual spraying</t>
  </si>
  <si>
    <t>Volet 1: prévention primaire de l'infection au VIH chet les femmes en âge de procérer</t>
  </si>
  <si>
    <t>Vertiente 1: Prevención primaria de la infección por el VIH en mujeres en edad reproductiva</t>
  </si>
  <si>
    <t>Other vector control measures</t>
  </si>
  <si>
    <t>Volet 2: prévention des grossesses non désirées chez les femmes vivant avec le VIH</t>
  </si>
  <si>
    <t>Vertiente 2: Prevención de embarazos no deseados en mujeres que viven con el VIH</t>
  </si>
  <si>
    <t>Entomological monitoring</t>
  </si>
  <si>
    <t>Volet 3: prévention de la transmissio verticale du VIH</t>
  </si>
  <si>
    <t>Vertiente 3: Prevención de la transmisión maternoinfantil del VIH</t>
  </si>
  <si>
    <t>Information, education, communication/Behavior change communications (vector control)</t>
  </si>
  <si>
    <t>Volet 4: traitement, prise en charge et soutien des mères vivant avec le VIH, de leurs enfants et de leurs familles</t>
  </si>
  <si>
    <t>Vertiente 4: Atención, tratamiento y apoyo para madres que viven con el VIH, así como para sus hijos y familias</t>
  </si>
  <si>
    <t>Removing human rights- and gender-related barriers to vector control programs</t>
  </si>
  <si>
    <t>Autres interventions de prévention de la transmission de la mère à l'enfant</t>
  </si>
  <si>
    <t>Otras intervenciones de PTMI</t>
  </si>
  <si>
    <t>Facility-based treatment</t>
  </si>
  <si>
    <t>Services différenciés de dépistage du VIH</t>
  </si>
  <si>
    <t>Servicios diferenciados de diagnóstico de VIH</t>
  </si>
  <si>
    <t>Epidemic preparedness</t>
  </si>
  <si>
    <t>Prise en charge du VIH</t>
  </si>
  <si>
    <t>Atención para el VIH</t>
  </si>
  <si>
    <t>Integrated community case management (iCCM)</t>
  </si>
  <si>
    <t>Prestation de services différenciés pour les traitement antirétroviraux</t>
  </si>
  <si>
    <t>Prestación de servicios diferenciados de tratamiento antirretroviral</t>
  </si>
  <si>
    <t>Active case detection and investigation (elimination phase)</t>
  </si>
  <si>
    <t>Suivi du traitement - surveillance de la pharmacoérsistance</t>
  </si>
  <si>
    <t>Seguimiento del tratamiento: vigilancia de la farmacorresistencia</t>
  </si>
  <si>
    <t>Therapeutic efficacy surveillance</t>
  </si>
  <si>
    <t>Suivi du traitement - charge virale</t>
  </si>
  <si>
    <t>Seguimiento del tratamiento: carga vírica</t>
  </si>
  <si>
    <t>Severe malaria</t>
  </si>
  <si>
    <t>Observance du traitement</t>
  </si>
  <si>
    <t>Adherencia al tratamiento</t>
  </si>
  <si>
    <t>Private sector case management</t>
  </si>
  <si>
    <t>Prévention, diagnostic et traitement des infections opportunistes</t>
  </si>
  <si>
    <t>Prevención, diagnóstico y tratamiento de infecciones oportunistas</t>
  </si>
  <si>
    <t>Ensuring drug and other health product quality</t>
  </si>
  <si>
    <t>Conseil et soutien psycho-social</t>
  </si>
  <si>
    <t>Asesoramiento y apoyo psicosocial</t>
  </si>
  <si>
    <t>Information, education, communication/behavior change communication (case management)</t>
  </si>
  <si>
    <t>Autres interventions réalisées dans le cadre du traitement</t>
  </si>
  <si>
    <t>Otras intervenciones para el tratamiento</t>
  </si>
  <si>
    <t>Removing human rights- and gender-related barriers to case management</t>
  </si>
  <si>
    <t>Interventions conjointes de lutte contre la tuberculose et le VIH</t>
  </si>
  <si>
    <t>Intervenciones colaborativas de tuberculosis y VIH</t>
  </si>
  <si>
    <t>Other case management intervention(s)</t>
  </si>
  <si>
    <t>Implication de tous les prestataires de soins TB/HIV</t>
  </si>
  <si>
    <t>Incorporar a todos los proveedores de servicios de salud (TB/VIH)</t>
  </si>
  <si>
    <t>Intermittent preventive treatment – In pregnancy</t>
  </si>
  <si>
    <t>Prise en charge communautaire de la coinfection TB/HIV</t>
  </si>
  <si>
    <t>Prestación de atención comunitaria para la TB/VIH</t>
  </si>
  <si>
    <t>Intermittent preventive treatment – In infancy</t>
  </si>
  <si>
    <t>Populations clés (TB/VIH) - prisonniers ou personnes se trouvant dans d'autres lieux fermés</t>
  </si>
  <si>
    <t>Poblaciones clave (TB/VIH): personas privadas de libertad en centros penitenciarios y en otros lugares de reclusión</t>
  </si>
  <si>
    <t>Seasonal malaria chemoprevention</t>
  </si>
  <si>
    <t>Populations clàs (TB/VIH) - autres</t>
  </si>
  <si>
    <t>Poblaciones clave (TB/VIH): otras</t>
  </si>
  <si>
    <t>Mass drug administration</t>
  </si>
  <si>
    <t>Activtiés conjointes avec d'autres programmes et secteurs (TB/VIH)</t>
  </si>
  <si>
    <t>Actividades de colaboración con otros programas y sectores (TB/VIH)</t>
  </si>
  <si>
    <t>Information, education, communication/Behavior change communications (specific prevention interventions)</t>
  </si>
  <si>
    <t>Suppression des obstacles liés aux droits humains et au genre qui entravent les programmes conjoints de lutte contre la tuberculose/VIH</t>
  </si>
  <si>
    <t>Eliminar las barreras relacionadas a los derechos humanos y género para las actividades colaborativas TB/VIH</t>
  </si>
  <si>
    <t>Removing human rights- and gender-related barriers to specific prevention interventions</t>
  </si>
  <si>
    <t>Autres interventions relatives à la coinfection TB/VIH</t>
  </si>
  <si>
    <t>Otras intervenciones TB/VIH</t>
  </si>
  <si>
    <t>Other specific prevention intervention(s)</t>
  </si>
  <si>
    <t>Réduction de la stigmatisation et de la discrimination</t>
  </si>
  <si>
    <t>Reducción del estigma y la discriminación</t>
  </si>
  <si>
    <t>National costed supply chain master plan, and implementation</t>
  </si>
  <si>
    <t>Acquisition de notions de droit ("Connaissez vos droits")</t>
  </si>
  <si>
    <t>Conocimientos jurídicos (“Conoce tus derechos”)</t>
  </si>
  <si>
    <t>Procurement strategy</t>
  </si>
  <si>
    <t>Formation des professionnels de santé en matière de droits humans et d'éthique médicale liés à la lutte contre le VIH et à la lutte conjointe contre le VIH/la tuberculose</t>
  </si>
  <si>
    <t>Formación de los proveedores de servicios de salud sobre los derechos humanos y ética médica en relación con el VIH y la TB/VIH.</t>
  </si>
  <si>
    <t>Supply chain infrastructure and development of tools</t>
  </si>
  <si>
    <t>Services juridiques liés au VIH et à la co-infection VIH/tuberculose</t>
  </si>
  <si>
    <t>Servicios jurídicos relacionados con el VIH y la TB/VIH.</t>
  </si>
  <si>
    <t>National product selection, registration and quality monitoring</t>
  </si>
  <si>
    <t>Sensibilisation des législateurs et des agents de la force publique</t>
  </si>
  <si>
    <t>Sensibilización de los legisladores y cuerpos de seguridad</t>
  </si>
  <si>
    <t>Other procurement and supply chain management intervention(s)</t>
  </si>
  <si>
    <t>Amélioration des lois, des réglementations et des politiques relatives au VIH et à la co-infection VIH/tuberculose</t>
  </si>
  <si>
    <t>Mejora de leyes, reglamentos y políticas relacionadas con el VIH y la TB/VIH.</t>
  </si>
  <si>
    <t>Routine reporting</t>
  </si>
  <si>
    <t>Réduction de la discrimination basée sur le genre, des normes de genre nuisibles et de la violence contre les femmes et les filles dans toute leur diversité, en lien avec le VIH</t>
  </si>
  <si>
    <t>Reducir la discriminación relacionada con el género y el VIH, las normas de género dañinas y la violencia contra mujeres y niñas en toda su diversidad</t>
  </si>
  <si>
    <t>Program and data quality</t>
  </si>
  <si>
    <t>Autres interventions destinées à la réduction des barrières aux services de VIH relatives aux droits de l'Homme</t>
  </si>
  <si>
    <t>Otras intervenciones para reducir las barreras de derechos humanos para accesar a los servicios de VIH</t>
  </si>
  <si>
    <t>Analysis, review and transparency</t>
  </si>
  <si>
    <t>Politiques, planification, coordination et gestion des programmes nationaux de lutte contre les maladies</t>
  </si>
  <si>
    <t>Política, planificación, coordinación y gestión de los programas nacionales de control de enfermedades</t>
  </si>
  <si>
    <t>Surveys</t>
  </si>
  <si>
    <t>Gestion des subventions</t>
  </si>
  <si>
    <t>Gestión de subvenciones</t>
  </si>
  <si>
    <t>Administrative and financial data sources</t>
  </si>
  <si>
    <t>Autre gestion de programme</t>
  </si>
  <si>
    <t>Otro gestión de subvenciones</t>
  </si>
  <si>
    <t>Vital registration system</t>
  </si>
  <si>
    <t>Dépistage et diagnostic des cas</t>
  </si>
  <si>
    <t>Detección de casos y diagnóstico</t>
  </si>
  <si>
    <t>Other health information systems and monitoring and evaluation intervention(s)</t>
  </si>
  <si>
    <t>Traitement</t>
  </si>
  <si>
    <t>Tratamiento</t>
  </si>
  <si>
    <t>Capacity building for health workers, including those at community level</t>
  </si>
  <si>
    <t>Prévention</t>
  </si>
  <si>
    <t>Prevención</t>
  </si>
  <si>
    <t>Retention and scale-up of health workers, including for community health workers</t>
  </si>
  <si>
    <t>Participation de tous les prestataires de soins (prise en charge et prevention de la TB)</t>
  </si>
  <si>
    <t>Incorporar a todos los proveedores de servicios de salud (atención y prevención de la tuberculosis)</t>
  </si>
  <si>
    <t>Other health and community workforce intervention(s)</t>
  </si>
  <si>
    <t>Prise en charge communautaire de la tuberculose</t>
  </si>
  <si>
    <t>Prestación de atención comunitaria para la tuberculosis</t>
  </si>
  <si>
    <t>Supportive policy and programmatic environment</t>
  </si>
  <si>
    <t>Populations clés (prise en charge et prévention de la TB) - prisonniers</t>
  </si>
  <si>
    <t>Poblaciones clave (Atención y prevención de TB): personas privadas de libertad</t>
  </si>
  <si>
    <t>Service organization and facility management</t>
  </si>
  <si>
    <t>Populations clés (prise en charge et prévention de la TB) - autres</t>
  </si>
  <si>
    <t>Poblaciones clave (Atención y prevención de TB): Otros</t>
  </si>
  <si>
    <t>Laboratory systems for disease prevention, control, treatment and disease surveillance</t>
  </si>
  <si>
    <t>Activités conjointes avec d'autres programmes et secteurs (prise en charge et prévention de la TB)</t>
  </si>
  <si>
    <t>Actividades de colaboración con otros programas y sectores (Atención y prevención de TB)</t>
  </si>
  <si>
    <t>Improving service delivery infrastructure</t>
  </si>
  <si>
    <t>Suppression des obstacles liés aux droits humains et au genre qui entravent l'accès aux services de prévention et de prise en charge de la tuberculose</t>
  </si>
  <si>
    <t>Eliminar las barreras relacionadas a los derechos humanos y género para la atención y prevención de TB</t>
  </si>
  <si>
    <t>Provider-initiated feedback mechanisms</t>
  </si>
  <si>
    <t>Autres interventions relatives à la prise en charge et prévention de la TB</t>
  </si>
  <si>
    <t>Otras intervenciones para la atención y prevención de TB</t>
  </si>
  <si>
    <t>Other service delivery intervention(s)</t>
  </si>
  <si>
    <t>Détection et diagnostic des cas: tuberculose multirésistante</t>
  </si>
  <si>
    <t>Detección de casos y diagnóstico: TB-MDR</t>
  </si>
  <si>
    <t>Public financial management strengthening</t>
  </si>
  <si>
    <t>Traitement: tuberculose multirésistante</t>
  </si>
  <si>
    <t>Tratamiento: TB-MDR</t>
  </si>
  <si>
    <t>Routine financial management improvement (non-public financial management)</t>
  </si>
  <si>
    <t>Prévention de la tuberculose multirésistante</t>
  </si>
  <si>
    <t>Prevención de la TB-MDR</t>
  </si>
  <si>
    <t>Other financial management intervention(s)</t>
  </si>
  <si>
    <t>Participation de tous les prestataires de soins (TB-MR)</t>
  </si>
  <si>
    <t>Implicar a todos los proveedores de atención (TB-MDR)</t>
  </si>
  <si>
    <t>National health strategies, alignment with diseasespecific plans, health sector governance and financing</t>
  </si>
  <si>
    <t>Prise en charge communautaire de la TB-MR</t>
  </si>
  <si>
    <t>Prestación de atención comunitaria para TB-MDR</t>
  </si>
  <si>
    <t>Other policy and governance intervention(s)</t>
  </si>
  <si>
    <t>Populations clés (TB-MR) - prisonniers</t>
  </si>
  <si>
    <t>Poblaciones clave (TB-MDR): personas privadas de libertad</t>
  </si>
  <si>
    <t>Community-based monitoring</t>
  </si>
  <si>
    <t>Populations clés (TB-MR) - autres</t>
  </si>
  <si>
    <t>Poblaciones clave (TB-MDR): otros</t>
  </si>
  <si>
    <t>Community-led advocacy</t>
  </si>
  <si>
    <t>Activités conjointes avec d'autres programmes et secteurs (TB-MR)</t>
  </si>
  <si>
    <t>Actividades de colaboración con otros programas y sectores (TB-MDR)</t>
  </si>
  <si>
    <t>Social mobilization, building community linkages, collaboration and coordination</t>
  </si>
  <si>
    <t>Suppression des obstacles liés aux droits humains et au genre qui entravent l'accès au traitement l'accès au traitement de la tuberculose multirésistante</t>
  </si>
  <si>
    <t>Eliminar las barreras relacionadas a los derechos humanos y género para TB-MDR</t>
  </si>
  <si>
    <t>Institutional capacity building, planning and leadership development</t>
  </si>
  <si>
    <t>Autres interventions relatives à la TB-MR</t>
  </si>
  <si>
    <t>Otras intervenciones para TB-MDR</t>
  </si>
  <si>
    <t>Other other community responses and systems intervention(s)</t>
  </si>
  <si>
    <t>Moustiquaires imprégnées d'insecticide de longue durée d'action: campagne de masse</t>
  </si>
  <si>
    <t>Mosquiteros tratados con insecticida de larga duración (MILD) – Campaña a gran escala</t>
  </si>
  <si>
    <t>Moustiquaires imprégnées d'insecticide de longue durée d'action: distribution continue</t>
  </si>
  <si>
    <t>Mosquiteros tratados con insecticida de larga duración (MILD) – Distribución continua</t>
  </si>
  <si>
    <t>Pulvérisation intradomiciliaire à effet rémanent</t>
  </si>
  <si>
    <t>Fumigación de interiores con insecticida de acción residual (FIR)</t>
  </si>
  <si>
    <t>Autres mesures de lutte antivectorielle</t>
  </si>
  <si>
    <t>Otras medidas de control de vectores</t>
  </si>
  <si>
    <t>Surveillance entomologique</t>
  </si>
  <si>
    <t>Seguimiento entomológico</t>
  </si>
  <si>
    <t>IEC/CCC (lutte antivectorielle)</t>
  </si>
  <si>
    <t>IEC/CCC (Control de vectores)</t>
  </si>
  <si>
    <t>Suppression des obstacles liés aux droits humains et au genre entravant l'accès aux programmes de lutte antivectorielle</t>
  </si>
  <si>
    <t>Eliminar los obstáculos relacionados con los derechos humanos y el género en los programas de control de vectores</t>
  </si>
  <si>
    <t>Traitement en milieu hospitalier</t>
  </si>
  <si>
    <t>Tratamiento en centros sanitarios</t>
  </si>
  <si>
    <t>Préparation aux épidémies</t>
  </si>
  <si>
    <t>Preparación ante epidemias</t>
  </si>
  <si>
    <t>Prise en charge inétgrée des cas au niveau communautaire</t>
  </si>
  <si>
    <t>Gestión integrada de casos en la comunidad</t>
  </si>
  <si>
    <t>Dépistage actif des cas et investigation (phase d'élimination)</t>
  </si>
  <si>
    <t>Detección activa de casos e investigación (fase de eliminación)</t>
  </si>
  <si>
    <t>Surveillance de l'efficacité thérapeutique)</t>
  </si>
  <si>
    <t>Vigilancia de la eficacia terapéutica</t>
  </si>
  <si>
    <t>Paludisme grave</t>
  </si>
  <si>
    <t>Malaria grave</t>
  </si>
  <si>
    <t>Prise en charge dans le secteur privé</t>
  </si>
  <si>
    <t>Gestión de casos en el sector privado</t>
  </si>
  <si>
    <t>Assurance Qualité des médicaments et produits de santé</t>
  </si>
  <si>
    <t>Asegurando la calidad de medicamentos y otros productos de salud</t>
  </si>
  <si>
    <t>IEC/CCC (prise en charge)</t>
  </si>
  <si>
    <t>IEC/CCC Gestión de casos</t>
  </si>
  <si>
    <t>Suppression des obstacles liés aux droits humains et au genre qui entravent l'accès aux interventions de prise en charge</t>
  </si>
  <si>
    <t>Eliminar las barreras relacionadas a los derechos humanos y género para la gestión de casos</t>
  </si>
  <si>
    <t>Autres interventions relatives à la prise en charge</t>
  </si>
  <si>
    <t>Otras intervenciones para la gestión de casos</t>
  </si>
  <si>
    <t>Traitement préventif intermittent: femmes enceintes</t>
  </si>
  <si>
    <t>Tratamiento preventivo intermitente – Durante el embarazo</t>
  </si>
  <si>
    <t>Traitement préventif intermittent: nourrissons</t>
  </si>
  <si>
    <t>Tratamiento preventivo intermitente – Durante la infancia</t>
  </si>
  <si>
    <t>Chimioprévention du paludisme saisonnier</t>
  </si>
  <si>
    <t>Quimioprevención estacional de la malaria</t>
  </si>
  <si>
    <t>Administration de médicaments à grande échelle</t>
  </si>
  <si>
    <t>Administración masiva de medicamentos</t>
  </si>
  <si>
    <t>IEC/CCC (interventions de préventions spécifiques)</t>
  </si>
  <si>
    <t>IEC/CCC Intervenciones de prevención específicas</t>
  </si>
  <si>
    <t>Suppression des obstacles liés aux droits humains et au genre qui entravent l'accès aux interventions de préventions spécificiques</t>
  </si>
  <si>
    <t>Eliminar las barreras relacionadas a los derechos humanos y género para las intervenciones específicas de prevención</t>
  </si>
  <si>
    <t>Autres interventions de prévention spécifique</t>
  </si>
  <si>
    <t>Otras intervenciones específicas para la prevención</t>
  </si>
  <si>
    <t>Elaboration et mise en œuvre d'un plan national chiffé relatif à la chaîne d'approvisionnement</t>
  </si>
  <si>
    <t>Plan maestro nacional presupuestado de la cadena de suministros, e implementación</t>
  </si>
  <si>
    <t>Stratégie d'achat</t>
  </si>
  <si>
    <t>Estrategia de adquisiciones</t>
  </si>
  <si>
    <t>Infrastructure de la cha'ine d'approvisionnement et élabortion d'outils</t>
  </si>
  <si>
    <t>Infraestructura de la cadena de suministros y desarrollo de herramientas</t>
  </si>
  <si>
    <t>Processus nationaux de sélection, d'homologation et de suivi de la qualité des produits</t>
  </si>
  <si>
    <t>Selección, registro y monitoreo de la calidad de productos nacionales</t>
  </si>
  <si>
    <t>Autres interventions relatives aux achats et à la chaîne d'approvisionnement</t>
  </si>
  <si>
    <t>Otras intervenciones para la gestión de adquisiciones y cadena de suministros</t>
  </si>
  <si>
    <t>Rapportage des données de routine</t>
  </si>
  <si>
    <t>Presentación de informes rutinarios</t>
  </si>
  <si>
    <t>Qualité du programme et des données</t>
  </si>
  <si>
    <t>Calidad de los programas y de los datos</t>
  </si>
  <si>
    <t>Analyse, revues et transparence</t>
  </si>
  <si>
    <t>Análisis, revisión y transparencia</t>
  </si>
  <si>
    <t>Enquêtes</t>
  </si>
  <si>
    <t>Encuestas</t>
  </si>
  <si>
    <t>Sources de données administratives et financières</t>
  </si>
  <si>
    <t>Fuentes de datos administrativos y financieros</t>
  </si>
  <si>
    <t>Système d'enregistrement de l'état civil</t>
  </si>
  <si>
    <t>Sistema de registro civil</t>
  </si>
  <si>
    <t>Autres interventions relatives aux systèmes d'informations sanitaires et S&amp;E</t>
  </si>
  <si>
    <t>Otras intervenciones para sistemas de información en salud y monitoreo y evaluación</t>
  </si>
  <si>
    <t>Renforcement des capacités des prestataires de santé, y compris au niveau communautaire</t>
  </si>
  <si>
    <t>Desarrollo de capacidad para trabajadores de salud, incluyendo los del nivel comunitario</t>
  </si>
  <si>
    <t>Rétention et renforcement des effectifs du secteur de la santé, y compris des agents de santé communautaires</t>
  </si>
  <si>
    <t>Retención y ampliación del número de trabajadores de salud, incluidos los trabajadores comunitarios</t>
  </si>
  <si>
    <t>Autres interventions relatives aux effectifs du secteur de santé y compris au  niveau communautaire</t>
  </si>
  <si>
    <t>Otras intervenciones para recursos humanos de salud, incluyendo los trabajadores comunitarios</t>
  </si>
  <si>
    <t>Environnement politique et programmatique favorable</t>
  </si>
  <si>
    <t>Entorno político y programático propicio</t>
  </si>
  <si>
    <t>Organisation des services et gestion des établissessments</t>
  </si>
  <si>
    <t>Organización de servicios y gestión de salud</t>
  </si>
  <si>
    <t>Réseaux de laboratoires pour la prévention, le contrôle, la prise en charge et la surveillance des maladies</t>
  </si>
  <si>
    <t>Sistemas de laboratorio para la prevención, el control, el tratamiento y la vigilancia de enfermedades</t>
  </si>
  <si>
    <t>Amélioration de l'infrastructure de prestation de services</t>
  </si>
  <si>
    <t>Mejorar la infraestructura de la prestación de servicios</t>
  </si>
  <si>
    <t>Dispositifs de retour d'information à l'initiative des prestataires</t>
  </si>
  <si>
    <t>Mecanismos de retroalimentación iniciados por los prestadores de servicios</t>
  </si>
  <si>
    <t>Autres interventions relatives à la prestation de services</t>
  </si>
  <si>
    <t>Otras intervenciones para la prestación de servicios</t>
  </si>
  <si>
    <t>Renforcement de la gestion des finances publiques</t>
  </si>
  <si>
    <t>Fortalecimiento de la gestión financiera pública</t>
  </si>
  <si>
    <t>Amélioration de la gestion des finances courantes (hors dépenses publiques)</t>
  </si>
  <si>
    <t>Mejora de la gestión financiera rutinaria (no pública)</t>
  </si>
  <si>
    <t>Autres interventions relatives à la gestion financier</t>
  </si>
  <si>
    <t>Otras intervenciones para sistemas de gestión financiera</t>
  </si>
  <si>
    <t>Stratégies sanitaires nationales, alignement avec les plans maladie spécifiques, gouvernance du secteur de la santé et financement</t>
  </si>
  <si>
    <t>Estrategias nacionales en salud, alineamiento con planes específicos de enfermedades, gobernanza y financiamiento en el ector salud</t>
  </si>
  <si>
    <t>Autres interventions relatives à la politique et à la gouvernance</t>
  </si>
  <si>
    <t>Otras intervenciones para política y gobernanza</t>
  </si>
  <si>
    <t>Suivi au niveau communautaire</t>
  </si>
  <si>
    <t>Monitoreo a nivel comunitario</t>
  </si>
  <si>
    <t>Plaidoyer communautaire</t>
  </si>
  <si>
    <t>Abogacía comunitaria</t>
  </si>
  <si>
    <t>Mobilisation sociale, renforcement des liens communautaires, de la collaboration et de la coordination</t>
  </si>
  <si>
    <t>Movilización social, establecimiento de vínculos comunitarios, colaboración y coordinación</t>
  </si>
  <si>
    <t>Renforcement des capacités institutionnelles, de planification et de direction</t>
  </si>
  <si>
    <t>Desarrollo de capacidades institucionales, planificación y liderazgo</t>
  </si>
  <si>
    <t>Autres interventions relatives aux réponses et systèmes communautaires</t>
  </si>
  <si>
    <t>Otras intervenciones para respuestas y sistemas comunitarios</t>
  </si>
  <si>
    <t>Políticas, planificación, coordinación y gestión de programas nacionales de control de enfermedades</t>
  </si>
  <si>
    <t>Name</t>
  </si>
  <si>
    <t>Record ID</t>
  </si>
  <si>
    <t>Name - Eng</t>
  </si>
  <si>
    <t>Name - FR</t>
  </si>
  <si>
    <t>Name - SP</t>
  </si>
  <si>
    <t>Country (Name)</t>
  </si>
  <si>
    <t>Group of Countries (Name)</t>
  </si>
  <si>
    <t>Funding Request Name</t>
  </si>
  <si>
    <t>Component Name</t>
  </si>
  <si>
    <t>Funding Request Currency</t>
  </si>
  <si>
    <t>[Record ID]</t>
  </si>
  <si>
    <t>[Name]</t>
  </si>
  <si>
    <t>[Name - FR]</t>
  </si>
  <si>
    <t>[Name - ES]</t>
  </si>
  <si>
    <t>Module Name</t>
  </si>
  <si>
    <t>[Module (Name)]</t>
  </si>
  <si>
    <t>Module (Name)</t>
  </si>
  <si>
    <t>[Name ID]</t>
  </si>
  <si>
    <t>Name ID</t>
  </si>
  <si>
    <t>Name - ES</t>
  </si>
  <si>
    <t>Allocation Cycle</t>
  </si>
  <si>
    <t>Group of Countries</t>
  </si>
  <si>
    <t>USD &gt; EUR</t>
  </si>
  <si>
    <t>Country or Group of Countries</t>
  </si>
  <si>
    <t>Brief Rationale (Translated)</t>
  </si>
  <si>
    <t>Parent Paar Record ID</t>
  </si>
  <si>
    <t xml:space="preserve"> Module Name</t>
  </si>
  <si>
    <t>Column1</t>
  </si>
  <si>
    <t>Brief Rationale</t>
  </si>
  <si>
    <t>records to upload</t>
  </si>
  <si>
    <t>[External ID]</t>
  </si>
  <si>
    <t>External ID</t>
  </si>
  <si>
    <t>PAAR Line external id</t>
  </si>
  <si>
    <t>External Id</t>
  </si>
  <si>
    <t>Intervention id</t>
  </si>
  <si>
    <t>external ID</t>
  </si>
  <si>
    <t>intervention id</t>
  </si>
  <si>
    <t>Module Id</t>
  </si>
  <si>
    <t>High</t>
  </si>
  <si>
    <t>Medium</t>
  </si>
  <si>
    <t>Low</t>
  </si>
  <si>
    <t>Moyen</t>
  </si>
  <si>
    <t>Faible</t>
  </si>
  <si>
    <t>Alto</t>
  </si>
  <si>
    <t>Bajo</t>
  </si>
  <si>
    <t>Medio</t>
  </si>
  <si>
    <t>country name</t>
  </si>
  <si>
    <t>group country name</t>
  </si>
  <si>
    <t>allocation name</t>
  </si>
  <si>
    <t>TRP Comment</t>
  </si>
  <si>
    <t>Pays ou groupe de pays</t>
  </si>
  <si>
    <t>País o grupo de países</t>
  </si>
  <si>
    <t>Niveau de priorité PRT</t>
  </si>
  <si>
    <t>Nivel de prioridad PRT</t>
  </si>
  <si>
    <t>Montant approuvé par PRT (devise d’allocation)</t>
  </si>
  <si>
    <t>Cantidad aprobada por PRT (divisa de alocación)</t>
  </si>
  <si>
    <t>Montant approuvé par PRT (US$)</t>
  </si>
  <si>
    <t>Cantidad aprobada por PRT (US$)</t>
  </si>
  <si>
    <t>Intervention Reference Id (Name)</t>
  </si>
  <si>
    <t>Module Reference Id (Name)</t>
  </si>
  <si>
    <t>PAAR Intervention Name</t>
  </si>
  <si>
    <t>Requested Amount</t>
  </si>
  <si>
    <t>Status</t>
  </si>
  <si>
    <t>Active</t>
  </si>
  <si>
    <t>RRSH</t>
  </si>
  <si>
    <t>[Module-Coverage-Intervention Reference (Name)]</t>
  </si>
  <si>
    <t>Module-Coverage-Intervention Reference (Name)</t>
  </si>
  <si>
    <t>Previously approved UQD (grant currency)</t>
  </si>
  <si>
    <t>Remaining UQD (grant currency)</t>
  </si>
  <si>
    <t>UQD ID</t>
  </si>
  <si>
    <t>TRP-approved amount (grant currency)</t>
  </si>
  <si>
    <t>PRIORITIZED ABOVE ALLOCATION REQUEST</t>
  </si>
  <si>
    <t>DEMANDE HIÉRARCHISÉE DE FINANCEMENT AU-DELÀ DE LA SOMME ALLOUÉE</t>
  </si>
  <si>
    <t>SOLICITUD PRIORIZADA DE MONTO POR ENCIMA DE LA ASIGNACIÓN</t>
  </si>
  <si>
    <t>de8e959b-0cbc-47e5-b6ce-8f858cfd9911</t>
  </si>
  <si>
    <t>Start Date</t>
  </si>
  <si>
    <t>[PAAR Name]</t>
  </si>
  <si>
    <t>[Allocation Cycle (Name)]</t>
  </si>
  <si>
    <t>Allocation Cycle (Name)</t>
  </si>
  <si>
    <t>PAAR Name</t>
  </si>
  <si>
    <t>[Status]</t>
  </si>
  <si>
    <t>[Start Date]</t>
  </si>
  <si>
    <t>[External Id]</t>
  </si>
  <si>
    <t>[Group of Countries (Name)]</t>
  </si>
  <si>
    <t>[Geography (Name)]</t>
  </si>
  <si>
    <t>Geography (Name)</t>
  </si>
  <si>
    <t>[USD &gt; EUR]</t>
  </si>
  <si>
    <t>[Parent PAAR (Name)]</t>
  </si>
  <si>
    <t>Parent PAAR (Name)</t>
  </si>
  <si>
    <t>[Brief Rationale]</t>
  </si>
  <si>
    <t>[Remaining UQD]</t>
  </si>
  <si>
    <t>Remaining UQD</t>
  </si>
  <si>
    <t>[TRP Approved]</t>
  </si>
  <si>
    <t>TRP Approved</t>
  </si>
  <si>
    <t>[EUR &gt; USD]</t>
  </si>
  <si>
    <t>EUR &gt; USD</t>
  </si>
  <si>
    <t>USD-&gt;EUR</t>
  </si>
  <si>
    <t>Elevé</t>
  </si>
  <si>
    <t>conditional fromating</t>
  </si>
  <si>
    <t>row numbert</t>
  </si>
  <si>
    <t>TRP priority rating(retranslated)</t>
  </si>
  <si>
    <t>Applicant Priority Rating(re-translated)</t>
  </si>
  <si>
    <t>Column2</t>
  </si>
  <si>
    <t>Column3</t>
  </si>
  <si>
    <t>Column4</t>
  </si>
  <si>
    <t>[Component (Name)]</t>
  </si>
  <si>
    <t>Component (Name)</t>
  </si>
  <si>
    <t>[Soft Delete]</t>
  </si>
  <si>
    <t>Soft Delete</t>
  </si>
  <si>
    <t>Column5</t>
  </si>
  <si>
    <t>UQD déjà approuvé (devise de subvention)</t>
  </si>
  <si>
    <t>UQD previamente aprobado (divisa de subvención)</t>
  </si>
  <si>
    <t>Column6</t>
  </si>
  <si>
    <t>UQD attendant financement (devise de subvention)</t>
  </si>
  <si>
    <t>UQD pendiente de financiamiento (divisa de subvención)</t>
  </si>
  <si>
    <t>Column7</t>
  </si>
  <si>
    <t>Statut</t>
  </si>
  <si>
    <t>Estado</t>
  </si>
  <si>
    <t>Column8</t>
  </si>
  <si>
    <t>Montant recommandé par le PRT (devise de subvention)</t>
  </si>
  <si>
    <t>Monto recomendado por el PRT (divisa de subvención)</t>
  </si>
  <si>
    <t>Column9</t>
  </si>
  <si>
    <t>Montant recommandé par le PRT (UQD) attendant financement (devise de subvention)</t>
  </si>
  <si>
    <t>Monto recomendado por el PRT (UQD) pendiente de financiamiento (divisa de subvención)</t>
  </si>
  <si>
    <t>Column10</t>
  </si>
  <si>
    <t>Brève justificatio</t>
  </si>
  <si>
    <t>Breve justificación</t>
  </si>
  <si>
    <t>TRP Priority</t>
  </si>
  <si>
    <t>Not Recommended</t>
  </si>
  <si>
    <t>Non recommandé</t>
  </si>
  <si>
    <t>No recomendado</t>
  </si>
  <si>
    <t>TRP Review Outcome</t>
  </si>
  <si>
    <t>Profile (Name)</t>
  </si>
  <si>
    <t>Column11</t>
  </si>
  <si>
    <t>Instructions for applicants
Applicants are first requested to provide contextual information about the Prioritized Above Allocation Request in the field “Contextual Information” at the top of the PAAR Update tab.  This field should include information about why the selected modules were identified and prioritized for additional funding.  
The full list of PAAR interventions should be entered in the table “Prioritized Above Allocation Request - Update (PAAR Update)”.  Applicants should enter data into columns A-F, starting from the “Applicant Priority Rating” and ending with the “Brief Rationale”. The content for the three first columns is selected from pick-up lists. Ensure that the correct priority rating, module and intervention are selected for each individual line. The column “Amount Requested (USD)” is automatically completed once the value of the prior column is entered.
Please note: The fields “Brief Rationale (Translated)” and the last three green columns are not to be filled in by the applicants.
Please ensure that all applicant fields have been entered in the “Prioritized Above Allocation Request - Update (PAAR Update)” table. Once the contextual information and columns A-F are completed, please save the Excel file and include it as part of documents submitted with the Funding Request.</t>
  </si>
  <si>
    <t>Instructions pour les candidats
Sélectionnez la langue avec laquelle vous allez travailler avant de commencer le remplissage de ce format.
Les candidats sont d’abord invités à fournir des informations contextuelles sur la demande hiérarchisée de financement au-delà de la somme allouée (PAAR) dans le champ «Information contextuelle» en haut de l’onglet PAAR Update. Ce champ doit inclure des informations sur les raisons pour lesquelles les modules sélectionnés ont été identifiés et classés par ordre de priorité pour un financement supplémentaire.
La liste complète des interventions PAAR doit être inscrite dans le tableau «demande hiérarchisée de financement au-delà de la somme allouée – Mise à jour (PAAR Update)». Les candidats doivent saisir les données dans les colonnes A-F, en commençant par «la cote de priorité» et en finissant par «la brève justification». Le contenu des trois premières colonnes est sélectionné dans les listes de contrôle. Assurez-vous que le classement de priorité, le module et l'intervention corrects sont sélectionnés pour chaque ligne. La colonne «Montant demandé (USD)» est automatiquement remplie une fois la valeur de la colonne précédente saisie.
Remarque: les champs «brève justification (traduite)» et les trois dernières colonnes vertes ne doivent pas être remplis par les candidats.
Assurez-vous que tous les champs du demandeur ont été entrés dans le tableau «demande hiérarchisée de financement au-delà de la somme allouée - Mise à jour (PAAR Update)». Une fois les informations contextuelles et les colonnes A à F complétées, sauvegardez le fichier Excel et intégrez-le dans les documents joints à la demande de financement.</t>
  </si>
  <si>
    <t>Instrucciones para solicitantes
Seleccione el lenguage con el que se va a trabajar antes de comenzar el llenado de este formato.
Inicialmente se requiere que los solicitantes  proporcionen información contextual sobre la solicitud priorizada de monto por encima de la asignación (PAAR por sus siglas en inglés) en el campo "Información contextual" en la parte superior de la pestaña PAAR Update. Este campo debe incluir información sobre por qué los módulos seleccionados fueron identificados y priorizados para financiamiento adicional.
La lista completa de intervenciones PAAR debe ingresarse en la tabla de " solicitud priorizada de monto por encima de la asignación - Actualización (PAAR Update)". Los solicitantes deben ingresar los datos en las columnas A-F, comenzando por la "Nivel de prioridad (para el Solicitante)" y terminando con la "Breve justificación". El contenido de las tres primeras columnas se selecciona de las listas de pre-selección del formato. Asegúrese de seleccionar la clasificación de prioridad, el módulo y la intervención correctos para cada línea individual. La columna "Monto solicitado (USD)" se completa automáticamente una vez que se ingresa el valor de la columna anterior.
Tenga en cuenta que los solicitantes NO deben completar los campos "Breve justificación (traducida)" y las últimas tres columnas verdes.
Asegúrese de haber ingresado todos los campos del solicitante en la tabla de " solicitud priorizada de monto por encima de la asignación - Actualización (PAAR Update)". Una vez que la información contextual y las columnas A-F estén completas, guarde el archivo Excel e inclúyalo como parte de los documentos presentados con la Solicitud de financiamiento.</t>
  </si>
  <si>
    <t>PRIORITIZED ABOVE ALLOCATION REQUEST - UPDATE (PAAR UPDATE)</t>
  </si>
  <si>
    <t>DEMANDE HIÉRARCHISÉE DE FINANCEMENT AU-DELÀ DE LA SOMME ALLOUÉE - MISE À JOUR (PAAR UPDATE)</t>
  </si>
  <si>
    <t>SOLICITUD PRIORIZADA DE MONTO POR ENCIMA DE LA ASIGNACIÓN - ACTUALIZACIÓN (PAAR UPDATE)</t>
  </si>
  <si>
    <t>Import PAAR</t>
  </si>
  <si>
    <t>Version Number</t>
  </si>
  <si>
    <t>Date</t>
  </si>
  <si>
    <t>Incidents</t>
  </si>
  <si>
    <t>Description</t>
  </si>
  <si>
    <t>US-3982</t>
  </si>
  <si>
    <t>Enabled Instructions sheet and provided translations in English, French, Spanish languages</t>
  </si>
  <si>
    <t>INC123523</t>
  </si>
  <si>
    <t>Blocking the import when 'TRP Review Outcome' is in 'Grant Making' and Profile is 'Country Team'</t>
  </si>
  <si>
    <t>Modified Formula at  'PaarLineToUpsert' Sheet X1 cell.
Existing : =COUNTA('PAAR UPDATE'!D30:D213)-SUMPRODUCT(COUNTIF('PAAR UPDATE'!D30:D213,"--select--"))
Modified: =COUNTA('PAAR UPDATE'!$B$30:$B$110)</t>
  </si>
  <si>
    <t>INC124942</t>
  </si>
  <si>
    <t>PAAR Update Sheet, F30:F110, G30:G110, L30:L110 formatted cells to enter only whole numbers</t>
  </si>
  <si>
    <t>INC126081</t>
  </si>
  <si>
    <t>Adjusted Column widths and provided access by enabling Format Cells and Format Rows options.</t>
  </si>
  <si>
    <t xml:space="preserve"> </t>
  </si>
  <si>
    <t>USD Equivalent</t>
  </si>
  <si>
    <t>Total PAAR current request</t>
  </si>
  <si>
    <t>Montant total courant de la demande de financement hiérarchisée au-delà de la somme allouée PAAR</t>
  </si>
  <si>
    <t>Total actual para la solicitud de fondos por encima del Monto asignado PAAR</t>
  </si>
  <si>
    <t>Monto actual recomendado por el PRT (UQD) pendiente de financiamiento y nuevo monto recomendado</t>
  </si>
  <si>
    <t>Monto actual de PAAR recomendado por el PRT (UQD)</t>
  </si>
  <si>
    <t>Montant courant recommandé par le PRT (UQD) attendant financement et nouveau montant recommandé</t>
  </si>
  <si>
    <t>Montant courant de PAAR recommandé par le PRT (UQD)</t>
  </si>
  <si>
    <t>TRP recommended amount current request</t>
  </si>
  <si>
    <t>Total remaining UQD and new recommended amount</t>
  </si>
  <si>
    <t>TRP recommended amount (allocation currency)</t>
  </si>
  <si>
    <t>Allocation Cycle Name</t>
  </si>
  <si>
    <t>Modified By</t>
  </si>
  <si>
    <t>Vasu Deva Dattatreya</t>
  </si>
  <si>
    <t>Garima Agarwal</t>
  </si>
  <si>
    <t>REQ0030335
 (US-3991)  </t>
  </si>
  <si>
    <r>
      <t>Need PAAR Update templates that are allocation cycle specific</t>
    </r>
    <r>
      <rPr>
        <sz val="10"/>
        <color rgb="FF000000"/>
        <rFont val="Segoe UI"/>
        <family val="2"/>
      </rPr>
      <t xml:space="preserve"> </t>
    </r>
    <r>
      <rPr>
        <sz val="12"/>
        <color theme="1"/>
        <rFont val="Times New Roman"/>
        <family val="1"/>
      </rPr>
      <t>(Module and Intervention based on Allocation Cycle)</t>
    </r>
  </si>
  <si>
    <t>Umesh Ghane</t>
  </si>
  <si>
    <t>Enhancement request: color coding</t>
  </si>
  <si>
    <t>REQ0030326
(US-4321)</t>
  </si>
  <si>
    <t>Navigation fixes &amp; column name in PAAR template</t>
  </si>
  <si>
    <t>Enhancement: move all hidden columns to end of document</t>
  </si>
  <si>
    <t>REQ0034526
(US-4322)</t>
  </si>
  <si>
    <t>REQ0030498
(US-4323)</t>
  </si>
  <si>
    <t>Version 1.4</t>
  </si>
  <si>
    <t>Amount Requested (allocation currency)</t>
  </si>
  <si>
    <t>Amount Requested (USD)</t>
  </si>
  <si>
    <t>Brief Rationale, including expected outcomes and impact (explain how the request builds on the allocation). 
Indicate the relevant population for HIV modules.</t>
  </si>
  <si>
    <t>Une courte explication, comprenant les résultats et l’impact attendus (montrer en quoi la requête se base sur l’allocation).
Pour les modules VIH, indiquer la population pertinente.</t>
  </si>
  <si>
    <t>Breve justificación, incluidos resultados e impacto previstos (explique cómo se basa la solicitud en la asignación)
Indique, para los módulos VIH, la población objetivo relevante.</t>
  </si>
  <si>
    <t>Translated Brief Rationale (filled in by A2F only)</t>
  </si>
  <si>
    <t>TRP amount approved (USD)</t>
  </si>
  <si>
    <t>TRP Notes (only mandatory for "Not Recommended", partially recommended, or when priority rating differs)</t>
  </si>
  <si>
    <t>Notes PRT (obligatoire uniquement pour "Non recommandé", partiellement recommandé ou lorsque la priorité diffère)</t>
  </si>
  <si>
    <t>Notas del PRT (solo obligatorio para "No recomendado", “parcialmente recomendado” o cuando la clasificación de prioridad es diferente)</t>
  </si>
  <si>
    <t>Breve justificación traducida (completada solo por A2F)</t>
  </si>
  <si>
    <t>Brève justification traduite (remplie uniquement par A2F)</t>
  </si>
  <si>
    <t xml:space="preserve">     </t>
  </si>
  <si>
    <t>AIM_Funding_Request__c.AIM_Funding_Request_Currency__c</t>
  </si>
  <si>
    <t>CHF</t>
  </si>
  <si>
    <t>AFN</t>
  </si>
  <si>
    <t>AMD</t>
  </si>
  <si>
    <t>AUD</t>
  </si>
  <si>
    <t>BAM</t>
  </si>
  <si>
    <t>BDT</t>
  </si>
  <si>
    <t>BGN</t>
  </si>
  <si>
    <t>BTN</t>
  </si>
  <si>
    <t>CNY</t>
  </si>
  <si>
    <t>COP</t>
  </si>
  <si>
    <t>DOP</t>
  </si>
  <si>
    <t>GBP</t>
  </si>
  <si>
    <t>GEL</t>
  </si>
  <si>
    <t>GHS</t>
  </si>
  <si>
    <t>GNF</t>
  </si>
  <si>
    <t>GTQ</t>
  </si>
  <si>
    <t>IDR</t>
  </si>
  <si>
    <t>ILS</t>
  </si>
  <si>
    <t>INR</t>
  </si>
  <si>
    <t>JMD</t>
  </si>
  <si>
    <t>JOD</t>
  </si>
  <si>
    <t>JPY</t>
  </si>
  <si>
    <t>KES</t>
  </si>
  <si>
    <t>KZT</t>
  </si>
  <si>
    <t>MAD</t>
  </si>
  <si>
    <t>MGA</t>
  </si>
  <si>
    <t>MKD</t>
  </si>
  <si>
    <t>MUR</t>
  </si>
  <si>
    <t>NAD</t>
  </si>
  <si>
    <t>NGN</t>
  </si>
  <si>
    <t>NZD</t>
  </si>
  <si>
    <t>PGK</t>
  </si>
  <si>
    <t>PHP</t>
  </si>
  <si>
    <t>PYG</t>
  </si>
  <si>
    <t>RSD</t>
  </si>
  <si>
    <t>RUB</t>
  </si>
  <si>
    <t>SLL</t>
  </si>
  <si>
    <t>SRD</t>
  </si>
  <si>
    <t>SZL</t>
  </si>
  <si>
    <t>THB</t>
  </si>
  <si>
    <t>TND</t>
  </si>
  <si>
    <t>TZS</t>
  </si>
  <si>
    <t>UAH</t>
  </si>
  <si>
    <t>XAF</t>
  </si>
  <si>
    <t>XOF</t>
  </si>
  <si>
    <t>YER</t>
  </si>
  <si>
    <t>ZAR</t>
  </si>
  <si>
    <t>CAD</t>
  </si>
  <si>
    <t>SEK</t>
  </si>
  <si>
    <t>NOK</t>
  </si>
  <si>
    <t>DKK</t>
  </si>
  <si>
    <t>ISK</t>
  </si>
  <si>
    <t>EGP</t>
  </si>
  <si>
    <t>AED</t>
  </si>
  <si>
    <t>ALL</t>
  </si>
  <si>
    <t>AOA</t>
  </si>
  <si>
    <t>ARS</t>
  </si>
  <si>
    <t>AWG</t>
  </si>
  <si>
    <t>AZN</t>
  </si>
  <si>
    <t>BBD</t>
  </si>
  <si>
    <t>BHD</t>
  </si>
  <si>
    <t>BIF</t>
  </si>
  <si>
    <t>BND</t>
  </si>
  <si>
    <t>BOB</t>
  </si>
  <si>
    <t>BRL</t>
  </si>
  <si>
    <t>BSD</t>
  </si>
  <si>
    <t>BWP</t>
  </si>
  <si>
    <t>BZD</t>
  </si>
  <si>
    <t>CDF</t>
  </si>
  <si>
    <t>CLP</t>
  </si>
  <si>
    <t>CRC</t>
  </si>
  <si>
    <t>CUC</t>
  </si>
  <si>
    <t>CVE</t>
  </si>
  <si>
    <t>CZK</t>
  </si>
  <si>
    <t>DJF</t>
  </si>
  <si>
    <t>DZD</t>
  </si>
  <si>
    <t>EEK</t>
  </si>
  <si>
    <t>ERN</t>
  </si>
  <si>
    <t>ETB</t>
  </si>
  <si>
    <t>FJD</t>
  </si>
  <si>
    <t>FKP</t>
  </si>
  <si>
    <t>GIP</t>
  </si>
  <si>
    <t>GMD</t>
  </si>
  <si>
    <t>GYD</t>
  </si>
  <si>
    <t>HKD</t>
  </si>
  <si>
    <t>HNL</t>
  </si>
  <si>
    <t>HRK</t>
  </si>
  <si>
    <t>HTG</t>
  </si>
  <si>
    <t>HUF</t>
  </si>
  <si>
    <t>IQD</t>
  </si>
  <si>
    <t>IRR</t>
  </si>
  <si>
    <t>KGS</t>
  </si>
  <si>
    <t>KHR</t>
  </si>
  <si>
    <t>KMF</t>
  </si>
  <si>
    <t>KPW</t>
  </si>
  <si>
    <t>KRW</t>
  </si>
  <si>
    <t>KWD</t>
  </si>
  <si>
    <t>KYD</t>
  </si>
  <si>
    <t>LAK</t>
  </si>
  <si>
    <t>LBP</t>
  </si>
  <si>
    <t>LKR</t>
  </si>
  <si>
    <t>LRD</t>
  </si>
  <si>
    <t>LSL</t>
  </si>
  <si>
    <t>LTL</t>
  </si>
  <si>
    <t>LVL</t>
  </si>
  <si>
    <t>LYD</t>
  </si>
  <si>
    <t>MDL</t>
  </si>
  <si>
    <t>MMK</t>
  </si>
  <si>
    <t>MNT</t>
  </si>
  <si>
    <t>MOP</t>
  </si>
  <si>
    <t>MVR</t>
  </si>
  <si>
    <t>MWK</t>
  </si>
  <si>
    <t>MXN</t>
  </si>
  <si>
    <t>MYR</t>
  </si>
  <si>
    <t>NIO</t>
  </si>
  <si>
    <t>NPR</t>
  </si>
  <si>
    <t>OMR</t>
  </si>
  <si>
    <t>PAB</t>
  </si>
  <si>
    <t>PEN</t>
  </si>
  <si>
    <t>PKR</t>
  </si>
  <si>
    <t>PLN</t>
  </si>
  <si>
    <t>QAR</t>
  </si>
  <si>
    <t>RON</t>
  </si>
  <si>
    <t>RWF</t>
  </si>
  <si>
    <t>SAR</t>
  </si>
  <si>
    <t>SBD</t>
  </si>
  <si>
    <t>SCR</t>
  </si>
  <si>
    <t>SDG</t>
  </si>
  <si>
    <t>SGD</t>
  </si>
  <si>
    <t>SHP</t>
  </si>
  <si>
    <t>SKK</t>
  </si>
  <si>
    <t>SOS</t>
  </si>
  <si>
    <t>SYP</t>
  </si>
  <si>
    <t>TJS</t>
  </si>
  <si>
    <t>TOP</t>
  </si>
  <si>
    <t>TRY</t>
  </si>
  <si>
    <t>TTD</t>
  </si>
  <si>
    <t>TWD</t>
  </si>
  <si>
    <t>UGX</t>
  </si>
  <si>
    <t>UYU</t>
  </si>
  <si>
    <t>UZS</t>
  </si>
  <si>
    <t>VND</t>
  </si>
  <si>
    <t>VUV</t>
  </si>
  <si>
    <t>WST</t>
  </si>
  <si>
    <t>XCD</t>
  </si>
  <si>
    <t>XPF</t>
  </si>
  <si>
    <t>MZN</t>
  </si>
  <si>
    <t>TMT</t>
  </si>
  <si>
    <t>ZMW</t>
  </si>
  <si>
    <t>SSP</t>
  </si>
  <si>
    <t>AIM_Funding_Request__c.AIM_TRP_Review_Outcome__c</t>
  </si>
  <si>
    <t>Grant Making</t>
  </si>
  <si>
    <t>Iteration</t>
  </si>
  <si>
    <t>Revised review approach</t>
  </si>
  <si>
    <t>L1FR_PAAR_UQD_Intervention__c.L1FR_TRP_Priority__c</t>
  </si>
  <si>
    <t>L1FR_PAAR_UQD_Intervention__c.L1FR_Applicant_Priority_Rating__c</t>
  </si>
  <si>
    <t>L1FR_PAAR_UQD_Intervention__c.L1FR_Status__c</t>
  </si>
  <si>
    <t>Inactive</t>
  </si>
  <si>
    <t>Expired</t>
  </si>
  <si>
    <t>Not Approved</t>
  </si>
  <si>
    <t>AIM_Allocation_Cycle__c.AIM_Status__c</t>
  </si>
  <si>
    <t>Pending Approval</t>
  </si>
  <si>
    <t>Approved</t>
  </si>
  <si>
    <t>PickListValue</t>
  </si>
  <si>
    <t>PickListKey</t>
  </si>
  <si>
    <t>BYN</t>
  </si>
  <si>
    <t>MRU</t>
  </si>
  <si>
    <t>STN</t>
  </si>
  <si>
    <t>VES</t>
  </si>
  <si>
    <t>ANG</t>
  </si>
  <si>
    <t>BMD</t>
  </si>
  <si>
    <t>CUP</t>
  </si>
  <si>
    <t>a443p00000094BmAAI</t>
  </si>
  <si>
    <t>Kazakhstan</t>
  </si>
  <si>
    <t>FR1049-KAZ-T</t>
  </si>
  <si>
    <t>a3p36000000DDSJAA4</t>
  </si>
  <si>
    <t>a1A360000013M03EAE</t>
  </si>
  <si>
    <t>2017-2019</t>
  </si>
  <si>
    <t>Country Team</t>
  </si>
  <si>
    <t>COVID-19</t>
  </si>
  <si>
    <t>MCI-01233</t>
  </si>
  <si>
    <t>a13360000026QHEAA2</t>
  </si>
  <si>
    <t>MCI-00021</t>
  </si>
  <si>
    <t>Systèmes de santé résilients et pérennes : ripostes et systèmes communautaires</t>
  </si>
  <si>
    <t>SSRS:  Respuestas y sistemas comunitarios</t>
  </si>
  <si>
    <t>MCI-00023</t>
  </si>
  <si>
    <t>RSSH: Health management information systems and M&amp;E</t>
  </si>
  <si>
    <t>MCI-00022</t>
  </si>
  <si>
    <t>Systèmes de santé résilients et pérennes : système de gestion de l'information sanitaire et suivi et évaluation</t>
  </si>
  <si>
    <t>SSRS: Sistemas de información en salud y monitoreo y evaluación</t>
  </si>
  <si>
    <t>Payment for results</t>
  </si>
  <si>
    <t>MCI-00024</t>
  </si>
  <si>
    <t>Financement basé sur les résultats</t>
  </si>
  <si>
    <t>Financiación basada en los resultados</t>
  </si>
  <si>
    <t>MDR-TB</t>
  </si>
  <si>
    <t>MCI-00010</t>
  </si>
  <si>
    <t>Paquete para TB-MR</t>
  </si>
  <si>
    <t>MCI-00008</t>
  </si>
  <si>
    <t>Atención y prevención de tuberculosis</t>
  </si>
  <si>
    <t>MCI-00009</t>
  </si>
  <si>
    <t>Tuberculose/VIH</t>
  </si>
  <si>
    <t>MCI-00014</t>
  </si>
  <si>
    <t>Systèmes de santé résilients et pérennes : prestation de services intégrés et amélioration de la qualité</t>
  </si>
  <si>
    <t>SSRS: Prestación de servicios integrados y mejora de la calidad</t>
  </si>
  <si>
    <t>RSSH: Human resources for health (HRH), including community health workers</t>
  </si>
  <si>
    <t>MCI-00015</t>
  </si>
  <si>
    <t>Systèmes de santé résilients et pérennes : ressources humaines pour la santé, y compris agents de santé communautaires</t>
  </si>
  <si>
    <t>SSRS: Recursos humanos para la salud, incluidos trabajadores de salud comunitarios</t>
  </si>
  <si>
    <t>MCI-00016</t>
  </si>
  <si>
    <t>Systèmes de santé résilients et pérennes : systèmes de gestion des achats et de la chaîne d'approvisionnement</t>
  </si>
  <si>
    <t>SSRS: Sistemas de gestión de la cadena de adquisiciones y suministros</t>
  </si>
  <si>
    <t>MCI-00019</t>
  </si>
  <si>
    <t>Systèmes de santé résilients et pérennes : système de gestion financière</t>
  </si>
  <si>
    <t>SSRS:  Sistemas de gestión financiera</t>
  </si>
  <si>
    <t>MCI-00536</t>
  </si>
  <si>
    <t>Systèmes de santé résilients et pérennes  : stratégies nationales de santé</t>
  </si>
  <si>
    <t>SSRS: Estrategias nacionales de salud</t>
  </si>
  <si>
    <t>Key populations (TB care and prevention) - Prisoners</t>
  </si>
  <si>
    <t>MCI-00590</t>
  </si>
  <si>
    <t>a1O36000001EGFIEA4</t>
  </si>
  <si>
    <t>Populations clés (prise en charge et prevention de la TB) - prisonniers</t>
  </si>
  <si>
    <t>ActivityArea_229</t>
  </si>
  <si>
    <t>Removing human rights and gender related barriers to TB care and prevention</t>
  </si>
  <si>
    <t>MCI-00591</t>
  </si>
  <si>
    <t>ActivityArea_230</t>
  </si>
  <si>
    <t>MCI-00126</t>
  </si>
  <si>
    <t>Dépistage et diagnostic des maladies</t>
  </si>
  <si>
    <t>ActivityArea_87</t>
  </si>
  <si>
    <t>MCI-00127</t>
  </si>
  <si>
    <t>ActivityArea_88</t>
  </si>
  <si>
    <t>MCI-00128</t>
  </si>
  <si>
    <t>ActivityArea_89</t>
  </si>
  <si>
    <t>MCI-00129</t>
  </si>
  <si>
    <t>Implication de tous les prestataires de soins (prise en charge et prevention de la TB)</t>
  </si>
  <si>
    <t>Implicar a todos los proveedores de atención (Atención y prevención de TB)</t>
  </si>
  <si>
    <t>ActivityArea_90</t>
  </si>
  <si>
    <t>MCI-00130</t>
  </si>
  <si>
    <t>ActivityArea_91</t>
  </si>
  <si>
    <t>Key populations (TB care and prevention) - Others</t>
  </si>
  <si>
    <t>MCI-00131</t>
  </si>
  <si>
    <t>Populations clés (prise en charge et prevention de la TB) - autres</t>
  </si>
  <si>
    <t>ActivityArea_92</t>
  </si>
  <si>
    <t>MCI-00132</t>
  </si>
  <si>
    <t>Activités concertées avec d'autres programmes et secteurs (prise en charge et prevention de la TB)</t>
  </si>
  <si>
    <t>Actividades de colaboración con otros sectores (Atención y prevención de TB)</t>
  </si>
  <si>
    <t>ActivityArea_93</t>
  </si>
  <si>
    <t>MCI-00133</t>
  </si>
  <si>
    <t>Autres interventions relatives a la prise en charge et prevention de la TB</t>
  </si>
  <si>
    <t>ActivityArea_94</t>
  </si>
  <si>
    <t>Key populations (TB/HIV) - Prisoners</t>
  </si>
  <si>
    <t>MCI-00581</t>
  </si>
  <si>
    <t>a1O36000001EGFJEA4</t>
  </si>
  <si>
    <t>ActivityArea_220</t>
  </si>
  <si>
    <t>Removing human rights and gender related barriers to TB/HIV collaborative programming</t>
  </si>
  <si>
    <t>MCI-00582</t>
  </si>
  <si>
    <t>Suppression des obstacles liés aux droits humains et au genre qui entravent les programmes conjoints de lutte contre la tuberculose/le VIH</t>
  </si>
  <si>
    <t>ActivityArea_221</t>
  </si>
  <si>
    <t>MCI-00135</t>
  </si>
  <si>
    <t>Implication de tous les prestataires de soins (TB/VIH)</t>
  </si>
  <si>
    <t>ActivityArea_96</t>
  </si>
  <si>
    <t>MCI-00134</t>
  </si>
  <si>
    <t>Intervenciones colaborativas de TB/VIH</t>
  </si>
  <si>
    <t>ActivityArea_95</t>
  </si>
  <si>
    <t>MCI-00136</t>
  </si>
  <si>
    <t>Prise en charge communautaire de la coinfection TB/VIH</t>
  </si>
  <si>
    <t>ActivityArea_97</t>
  </si>
  <si>
    <t>Key populations (TB/HIV) - Others</t>
  </si>
  <si>
    <t>MCI-00137</t>
  </si>
  <si>
    <t>Populations clés (TB/VIH) - autres</t>
  </si>
  <si>
    <t>Poblaciones clave (TB/VIH)- Otras</t>
  </si>
  <si>
    <t>ActivityArea_98</t>
  </si>
  <si>
    <t>MCI-00138</t>
  </si>
  <si>
    <t>Activités conjointes avec d’autres programmes et secteurs (TB/VIH)</t>
  </si>
  <si>
    <t>ActivityArea_99</t>
  </si>
  <si>
    <t>MCI-00139</t>
  </si>
  <si>
    <t>Autres interventions relatives a la coinfection TB/VIH</t>
  </si>
  <si>
    <t>ActivityArea_100</t>
  </si>
  <si>
    <t>MCI-00144</t>
  </si>
  <si>
    <t>a1O36000001EGFKEA4</t>
  </si>
  <si>
    <t>ActivityArea_105</t>
  </si>
  <si>
    <t>MCI-00143</t>
  </si>
  <si>
    <t>Implication de tous les prestataires de soins (TB-MR)</t>
  </si>
  <si>
    <t>ActivityArea_104</t>
  </si>
  <si>
    <t>Key populations (MDR-TB) - Others</t>
  </si>
  <si>
    <t>MCI-00145</t>
  </si>
  <si>
    <t>Poblaciones clave (TB-MDR): Otros</t>
  </si>
  <si>
    <t>ActivityArea_106</t>
  </si>
  <si>
    <t>MCI-00146</t>
  </si>
  <si>
    <t>Activités concertées avec d'autres secteurs (TB-MR)</t>
  </si>
  <si>
    <t>ActivityArea_107</t>
  </si>
  <si>
    <t>MCI-00147</t>
  </si>
  <si>
    <t>Autres interventions relatives a la TB-MR</t>
  </si>
  <si>
    <t>ActivityArea_108</t>
  </si>
  <si>
    <t>Key populations (MDR-TB) - Prisoners</t>
  </si>
  <si>
    <t>MCI-00592</t>
  </si>
  <si>
    <t>Populations clés (TB-MR) - prisoniers</t>
  </si>
  <si>
    <t>Poblaciones clave (TB-MDR): Personas privadas de libertad</t>
  </si>
  <si>
    <t>ActivityArea_231</t>
  </si>
  <si>
    <t>Removing human rights and gender related barriers to MDR-TB</t>
  </si>
  <si>
    <t>MCI-00593</t>
  </si>
  <si>
    <t>Suppression des obstacles liés aux droits humains et au genre qui entravent les programmes de TB-MR</t>
  </si>
  <si>
    <t>ActivityArea_232</t>
  </si>
  <si>
    <t>MCI-00140</t>
  </si>
  <si>
    <t>Détection et diagnostic des maladies : tuberculose multirésistante</t>
  </si>
  <si>
    <t>ActivityArea_101</t>
  </si>
  <si>
    <t>MCI-00141</t>
  </si>
  <si>
    <t>Traitement : tuberculose multirésistante</t>
  </si>
  <si>
    <t>ActivityArea_102</t>
  </si>
  <si>
    <t>MCI-00142</t>
  </si>
  <si>
    <t>Prevención de TB-MDR</t>
  </si>
  <si>
    <t>ActivityArea_103</t>
  </si>
  <si>
    <t>MCI-00170</t>
  </si>
  <si>
    <t>a1O36000001EGFOEA4</t>
  </si>
  <si>
    <t>Organisation des services et gestion des établissements</t>
  </si>
  <si>
    <t>Organización y gestión de los servicios de salud</t>
  </si>
  <si>
    <t>ActivityArea_131</t>
  </si>
  <si>
    <t>MCI-00171</t>
  </si>
  <si>
    <t>ActivityArea_132</t>
  </si>
  <si>
    <t>MCI-00172</t>
  </si>
  <si>
    <t>ActivityArea_133</t>
  </si>
  <si>
    <t>MCI-00173</t>
  </si>
  <si>
    <t>Autres interventions relatives a la prestation de services</t>
  </si>
  <si>
    <t>ActivityArea_134</t>
  </si>
  <si>
    <t>MCI-00601</t>
  </si>
  <si>
    <t>ActivityArea_240</t>
  </si>
  <si>
    <t>Provider initiated feedback mechanisms</t>
  </si>
  <si>
    <t>MCI-00602</t>
  </si>
  <si>
    <t>ActivityArea_241</t>
  </si>
  <si>
    <t>MCI-00174</t>
  </si>
  <si>
    <t>a1O36000001EGFPEA4</t>
  </si>
  <si>
    <t>Desarrollo de capacidades para trabajadores de salud, incluyendo los del nivel comunitario</t>
  </si>
  <si>
    <t>ActivityArea_135</t>
  </si>
  <si>
    <t>MCI-00175</t>
  </si>
  <si>
    <t>ActivityArea_136</t>
  </si>
  <si>
    <t>MCI-00177</t>
  </si>
  <si>
    <t>Autres interventions relatives aux effectifs du secteur de sante y compris au niveau communautaire</t>
  </si>
  <si>
    <t>ActivityArea_138</t>
  </si>
  <si>
    <t>MCI-00178</t>
  </si>
  <si>
    <t>a1O36000001EGFQEA4</t>
  </si>
  <si>
    <t>Elaboration et mise en œuvre d'un plan national chiffré relatif à la chaîne d'approvisionnement</t>
  </si>
  <si>
    <t>Plan maestro nacional presupuestado de la cadena de suministros e implementación</t>
  </si>
  <si>
    <t>ActivityArea_139</t>
  </si>
  <si>
    <t>MCI-00179</t>
  </si>
  <si>
    <t>Infrastructure de la chaîne d'approvisionnement et élaboration d'outils</t>
  </si>
  <si>
    <t>ActivityArea_140</t>
  </si>
  <si>
    <t>Other procurement supply chain management intervention(s)</t>
  </si>
  <si>
    <t>MCI-00180</t>
  </si>
  <si>
    <t>Autres interventions relatives aux achats et a la chaine d'approvisionnement</t>
  </si>
  <si>
    <t>ActivityArea_141</t>
  </si>
  <si>
    <t>MCI-00599</t>
  </si>
  <si>
    <t>ActivityArea_238</t>
  </si>
  <si>
    <t>MCI-00598</t>
  </si>
  <si>
    <t>ActivityArea_237</t>
  </si>
  <si>
    <t>Public financial management (PFM) strengthening</t>
  </si>
  <si>
    <t>MCI-00187</t>
  </si>
  <si>
    <t>a1O36000001EGFTEA4</t>
  </si>
  <si>
    <t>ActivityArea_148</t>
  </si>
  <si>
    <t>MCI-00188</t>
  </si>
  <si>
    <t>Autres interventions relatives a la gestion financiere</t>
  </si>
  <si>
    <t>ActivityArea_149</t>
  </si>
  <si>
    <t>Routine financial management improvement (non-PFM)</t>
  </si>
  <si>
    <t>MCI-00603</t>
  </si>
  <si>
    <t>ActivityArea_242</t>
  </si>
  <si>
    <t>MCI-00195</t>
  </si>
  <si>
    <t>a1O36000001EGFVEA4</t>
  </si>
  <si>
    <t>ActivityArea_156</t>
  </si>
  <si>
    <t>Community led advocacy</t>
  </si>
  <si>
    <t>MCI-00196</t>
  </si>
  <si>
    <t>ActivityArea_157</t>
  </si>
  <si>
    <t>MCI-00197</t>
  </si>
  <si>
    <t>ActivityArea_158</t>
  </si>
  <si>
    <t>MCI-00198</t>
  </si>
  <si>
    <t>ActivityArea_159</t>
  </si>
  <si>
    <t>Other community responses and systems intervention(s)</t>
  </si>
  <si>
    <t>MCI-00199</t>
  </si>
  <si>
    <t>Autres inteventions relatives ax reponses et systemes communautaires</t>
  </si>
  <si>
    <t>ActivityArea_160</t>
  </si>
  <si>
    <t>MCI-00200</t>
  </si>
  <si>
    <t>a1O36000001EGFWEA4</t>
  </si>
  <si>
    <t>Presentación de informes periódicos</t>
  </si>
  <si>
    <t>ActivityArea_161</t>
  </si>
  <si>
    <t>MCI-00201</t>
  </si>
  <si>
    <t>ActivityArea_162</t>
  </si>
  <si>
    <t>MCI-00202</t>
  </si>
  <si>
    <t>Enquête</t>
  </si>
  <si>
    <t>ActivityArea_163</t>
  </si>
  <si>
    <t>Administrative and finance data sources</t>
  </si>
  <si>
    <t>MCI-00203</t>
  </si>
  <si>
    <t>ActivityArea_164</t>
  </si>
  <si>
    <t>MCI-00204</t>
  </si>
  <si>
    <t>ActivityArea_165</t>
  </si>
  <si>
    <t>Other health information systems and M&amp;E intervention(s)</t>
  </si>
  <si>
    <t>MCI-00205</t>
  </si>
  <si>
    <t>Autres interventions relatives aux systemes d'informations sanitaires et S&amp;E</t>
  </si>
  <si>
    <t>ActivityArea_166</t>
  </si>
  <si>
    <t>MCI-00600</t>
  </si>
  <si>
    <t>ActivityArea_239</t>
  </si>
  <si>
    <t>MCI-00206</t>
  </si>
  <si>
    <t>a1O36000001EGFXEA4</t>
  </si>
  <si>
    <t>ActivityArea_167</t>
  </si>
  <si>
    <t>MCI-00207</t>
  </si>
  <si>
    <t>ActivityArea_168</t>
  </si>
  <si>
    <t>MCI-00209</t>
  </si>
  <si>
    <t>Autre(s) intervention(s) de gestion de programme</t>
  </si>
  <si>
    <t>Otro- gestión de subvenciones</t>
  </si>
  <si>
    <t>ActivityArea_170</t>
  </si>
  <si>
    <t>MCI-00210</t>
  </si>
  <si>
    <t>a1O36000001EGFYEA4</t>
  </si>
  <si>
    <t>ActivityArea_171</t>
  </si>
  <si>
    <t>National health strategies, alignment with disease-specific plans, health sector governance and financing</t>
  </si>
  <si>
    <t>MCI-00611</t>
  </si>
  <si>
    <t>a1O36000001qZ7xEAE</t>
  </si>
  <si>
    <t>Estrategias nacionales en salud, alineamiento con planes específicos de enfermedades, gobernanza y financiamiento en el sector salud</t>
  </si>
  <si>
    <t>ActivityArea_253</t>
  </si>
  <si>
    <t>MCI-00612</t>
  </si>
  <si>
    <t>Autres interventions relatives a la politique et a la gouvernance</t>
  </si>
  <si>
    <t>ActivityArea_254</t>
  </si>
  <si>
    <t>Risk mitigation for disease programs</t>
  </si>
  <si>
    <t>MCI-01235</t>
  </si>
  <si>
    <t>a1O3p000003O9XDEA0</t>
  </si>
  <si>
    <t>Atténuation des risques pour les programmes de lutte contre les maladies</t>
  </si>
  <si>
    <t>Mitigación de riesgos para los programas de las enfermedades</t>
  </si>
  <si>
    <t>ActivityArea_292</t>
  </si>
  <si>
    <t>COVID-19 control and containment including health systems strengthening</t>
  </si>
  <si>
    <t>MCI-01234</t>
  </si>
  <si>
    <t>Contrôle et confinement relatif au COVID-19, y compris le renforcement des systèmes de santé</t>
  </si>
  <si>
    <t>Control y contención relacionada a COVID-19, incluyendo el fortalecimiento de los sistemas de salud</t>
  </si>
  <si>
    <t>ActivityArea_287</t>
  </si>
  <si>
    <t>a6R1R0000005VrEUAU</t>
  </si>
  <si>
    <t>Geography_130/FundingOpportunity_14</t>
  </si>
  <si>
    <t>a3p1R0000018qtDQAQ</t>
  </si>
  <si>
    <t>2020-2022</t>
  </si>
  <si>
    <t>Geography_130/FundingOpportunity_15</t>
  </si>
  <si>
    <t>a6R1R0000005W0QUAU</t>
  </si>
  <si>
    <t>Treatment monitoring - Drug resistance</t>
  </si>
  <si>
    <t>Procurement of sequencer -- Studies on the drug resistance of HIV are conducted centrally for the whole of Kazakhstan. At present,  KSCDID laboratory is conducting studies to determine drug resistance for HIV using the AB3130 equipment, acquired in 2005 with support fom the Global Fund. This device has already been discontinued several years ago, and in the near future (2021-2022), the service of the device and the release of spare parts for this model will be discontinued. Thus, the available equipment is technically outdated. The procurement of equipment at the expense of the Republican budget is currently not possible, due to the high cost of the device (117 million KZT); it is also impractical to procure the device on lease, since the volume of research on the device does not meet the requirements of the lessor. The procurement of a sequencer will allow to monitor drug resistance for all PLHIV who do not have success in treatment. This will increase the effectiveness of HIV treatment; allow timely replacement of the regimen; and reduce the spread of drug-resistant HIV strains in the country.</t>
  </si>
  <si>
    <t>RSSH: Laboratory systems</t>
  </si>
  <si>
    <t>Quality management systems and accreditation</t>
  </si>
  <si>
    <t>Procurement of 3 biosafety boxes -- To maintain biological safety conditions, to comply with the rules for organising PCR departments in the KSCDID laboratory, as well as increasing the laboratory level to the level of the reference laboratory and obtaining accreditation in the future, it is necessary to bring the laboratory to the level of international standards. In this regard, there is a need for 3 biosafety boxes for PCR laboratories for testing for hepatitis, STIs, COVID-19, and HIV sequencing. Currently, there are only two biosafety boxes in working condition, one of which has been in operation for 12 years (100% wear and tear); the other one is out of order. It is planned to purchase 1 box at the state budget, but this is not enough.</t>
  </si>
  <si>
    <t>Behavior change interventions</t>
  </si>
  <si>
    <t>Cascade training of 140 Outreach workers working with PWID and 60 nurses at Trust points in 14 AIDS Centres; and training of Outreach workers for SWs and MSM -- As part of the grant, trainings for trainers (TOT) on working with PWID, SW and MSM will be held. In this regard, it is necessary to use the potential of trained trainers to increase the knowledge and capacity of outreach workers at AIDS Centres for work with KPs. It is planned to conduct cascading trainings for 140 outreach workers working with PWID and 60 nursing Trust Points in 14 AIDS Centres. Training for outreach workers working with SW and MSM and medical staff in Friendly clinics, which provide diagnostic and treatment services for STIs for KPs (17 regions). High-quality trainings for the above persons (for AIDS Centre) have not been conducted for more than 7 years. Conducting these trainings will allow trained outreach workers to motivate their KP clients to change risk behaviours, provide information on OST, OD, PREP, STI prevention, etc.</t>
  </si>
  <si>
    <t>Addressing stigma, discrimination and violence</t>
  </si>
  <si>
    <t>Study on HIV-related stigma among health-care workers -- Conducting research in the relation to PLHIV will reveal the level of stigma and discrimination against PLHIV and KPs among medical workers in order to take appropriate measures to improve access to preventive, medical and social services. Stigma and Discrimination Reduction Plan will be developed on the base of this research.</t>
  </si>
  <si>
    <t>RSSH: Health sector governance and planning</t>
  </si>
  <si>
    <t>National health sector strategies and financing</t>
  </si>
  <si>
    <t>Lessons Learned Conference (2023) -- At the end of the grant, it is necessary to hold a final conference, which will present successful stories of the project, the introduction of New Approaches to HIV Prevention (PrEP), the experience of the street lawyers to reduce legal barriers, and Social contracting for NGOs.</t>
  </si>
  <si>
    <t>RSSH: Community systems strengthening</t>
  </si>
  <si>
    <t>Creation of a single information and educational center for Kazakhstan and Central Asia. The creation of this center will allow PLHIV and KPs to receive remote access to medical, legal, social, psychological, educational services, also on an anonymous basis. It will help to remove barriers related to distance, access to qualified specialists in the centers. In addition, the creation of such a Center will be aimed at improving the accessibility to knowledge for specialists in various fields of activity on the issues of prevention and treatment of HIV infection, STIs, hepatitis, mental health for the entire population of the Central Asia Region and the Republic of Kazakhstan, and among vulnerable, key population groups and people living with HIV.
There is a preliminary agreement on supporting this platform for content filling, assistance in conducting webinars and other technical support with WHO, UNICEF and UNODC.</t>
  </si>
  <si>
    <t>Harm reduction interventions for drug use</t>
  </si>
  <si>
    <t>Web Outreach-workers Package. In 2020, UNODC is completing a study on the needs of synthetic drug users. Based on the results, it will be necessary to implement a Web Outreach-workers Package for Harm Reduction programs. The package of services includes the development of the Module, the training of web outreach workers for conducting mini-trainings online, information sessions (up to 5 lessons for 100 experts) and the development of an online course on the provision of medical services and law enforcement officers.</t>
  </si>
  <si>
    <t>Differentiated ART service delivery and HIV care</t>
  </si>
  <si>
    <t>Research on infectious prossess. In order to assess the dynamics of the infectious process and assess the frequency of transmission of strains having mutations in drug resistance of HIV, a regular research should be carried out on the assessment of the duration of infection of PLHIV. In 2020, such a research is carried out by UNPFA and KSCDID. It is planned to carry out next one in 2022-2023.</t>
  </si>
  <si>
    <t>Trainings for Adaptation and Crisis Centers. Trainings for managers and employees of the Adaptation Centers, Crisis Centers for Victims of Domestic Violence, aimed at combating stigma and discrimination, gender inequality in relation to PLHIV, including women with HIV.</t>
  </si>
  <si>
    <t>Establishment of a HIV Resource Centre at KNCDID -- KCSDID in the Republic of Kazakhstan is a centre for the prevention and diagnosis of HIV, STIs and viral hepatitis. KCSDID has a license to conduct educational activities. On the basis of KCSDID there is an HIV Department. The exchange of information, the use of best foreign practices would be a good tool to increase the potential of all medical workers of the regional AIDS centers not only for the prophylaxis and treatment of HIV, but also for viral hepatitis and STIs. On the base of the Resource centre it is planned to conduct webinars on the modules developed by international consultants for medical staff, NGOs.</t>
  </si>
  <si>
    <t>In-service training (excluding community health workers)</t>
  </si>
  <si>
    <t>Study tour. In order to study international best practices in working with MSM, providing PreP and comprehensive services based on specialised clinics, it is necessary to study this experience in order to implement successful practices in a pilot mode.</t>
  </si>
  <si>
    <t>Participation in international conferences -- This provides to increase capacity of the employees to use new practices and methods in the country.</t>
  </si>
  <si>
    <t>Policy and planning for national disease control programs</t>
  </si>
  <si>
    <t>Conducting of webinars on infection control and epidemiological safety for medical staff of Primary Health Care and hospitals in all regions on a monthly basis
It is necessary to increase the level of knowledge of medical workers on the issues of infection control of HIV, hepatitis, Covid</t>
  </si>
  <si>
    <t>Interventions for young key populations</t>
  </si>
  <si>
    <t>Strengthening families programme aimed at prevention of early drug use and risky behavior among youth, strengthening parental skills and building strong families:
(1) Training facilitators – 5 trainings in 5 regions (1 training - $ 14 500 with international trainer, $ 6 000 with national trainers, hence 5 trainings with international trainer - $ 72 500, 5 trainings with national trainers - $30 000) 
(2) 7 weekly sessions with parents and 10 children ($ 2 500) in 5 regions (5 schools in each region to be selected, in total 25 schools, $2 500 * 25 schools = $ 62 500)
In total, option with international trainer - $135 000, option with national trainers - $ 92 500.</t>
  </si>
  <si>
    <t>Дополнительная заявка на набор реагентов и расходных материалов для секвенирования</t>
  </si>
  <si>
    <t>№п/п</t>
  </si>
  <si>
    <t>Наименование медицинских изделий</t>
  </si>
  <si>
    <t>Ед.изм.</t>
  </si>
  <si>
    <t>кол-во</t>
  </si>
  <si>
    <t>цена за еденицу</t>
  </si>
  <si>
    <t>стоимость в тг.</t>
  </si>
  <si>
    <t>TOO VELD</t>
  </si>
  <si>
    <t>стоимость в $.</t>
  </si>
  <si>
    <t>Реагенты для секвенирования</t>
  </si>
  <si>
    <r>
      <t>Nextera</t>
    </r>
    <r>
      <rPr>
        <sz val="14"/>
        <color theme="1"/>
        <rFont val="Calibri"/>
        <family val="2"/>
        <charset val="204"/>
        <scheme val="minor"/>
      </rPr>
      <t xml:space="preserve">® </t>
    </r>
    <r>
      <rPr>
        <sz val="14"/>
        <color theme="1"/>
        <rFont val="Times New Roman"/>
        <family val="1"/>
        <charset val="204"/>
      </rPr>
      <t>XT Library Preparation Kit (Illumina, USA, Cat. # FC-131-1096) [96 samples]</t>
    </r>
  </si>
  <si>
    <t>набор</t>
  </si>
  <si>
    <r>
      <t>Nextera</t>
    </r>
    <r>
      <rPr>
        <sz val="14"/>
        <color theme="1"/>
        <rFont val="Calibri"/>
        <family val="2"/>
        <charset val="204"/>
        <scheme val="minor"/>
      </rPr>
      <t xml:space="preserve">® </t>
    </r>
    <r>
      <rPr>
        <sz val="14"/>
        <color theme="1"/>
        <rFont val="Times New Roman"/>
        <family val="1"/>
        <charset val="204"/>
      </rPr>
      <t>XT Index Kit v2 Set A (96 indexes, 384 samples) (Illumina, USA, Cat. # FC-131-2001)</t>
    </r>
  </si>
  <si>
    <t>Phix control v3 (Illumina, USA, Cat. # FC-110-3001)</t>
  </si>
  <si>
    <t xml:space="preserve">Miseq Reagent Kit v3 (600 cycles) (Illumina, USA, Cat. # MS-102-3003) </t>
  </si>
  <si>
    <t>MAGBIO AC-60050</t>
  </si>
  <si>
    <t xml:space="preserve">Qubit™ dsDNA HS (High Sensitivity) Assay Kit 500 assays (Invitrogen, Australia, Cat. # Q32854) </t>
  </si>
  <si>
    <t>Расходный материал для фрагментного анализатора</t>
  </si>
  <si>
    <t>Lysozyme 5g (ThermoFisher, Cat. #89833)</t>
  </si>
  <si>
    <t>упаковка</t>
  </si>
  <si>
    <t>Набор NGS Fragment Kit (1-6000bp), 500, DNF-473-0500</t>
  </si>
  <si>
    <t>Набор Capillary Storage Solution, 100mL, GP-440-0100</t>
  </si>
  <si>
    <t>Краситель для нуклеиновых кислот. Safe-Red ™. G108-R</t>
  </si>
  <si>
    <t>мл</t>
  </si>
  <si>
    <t xml:space="preserve">ДНК лестница_1kb. 1 kb Ladder. D0428-1VL </t>
  </si>
  <si>
    <t>500 мкл</t>
  </si>
  <si>
    <t>Годовой гарантииный пакет на обслуживание секвенатор</t>
  </si>
  <si>
    <t>Гарантииный пакет на обслуживание фрагментного анализатора</t>
  </si>
  <si>
    <t>Procurement of lab. Reagents for Sequencing of Mycobacterium
tuberculosis complex</t>
  </si>
  <si>
    <t>Eppendorf* 96-Well twin.tec* PCR Plates, Semi skirted (Cat. # EP951020303-25EA)</t>
  </si>
  <si>
    <t>Дополнительные реагенты</t>
  </si>
  <si>
    <t>Расходные материалы секвенатора</t>
  </si>
  <si>
    <t>Наконечники ep Dualfilter T.I.P.S.® SealMax, IVD, PCR clean and sterile, 0.1 – 10 µL, S, 34 mm, dark gray, 960 tips (10 racks x 96 tips)</t>
  </si>
  <si>
    <t>Наконечники ep Dualfilter T.I.P.S.® SealMax, IVD, PCR clean and sterile, 0.5 – 20 µL, L, 46 mm, light gray, 960 tips (10 racks x 96 tips)</t>
  </si>
  <si>
    <t>Наконечники ep Dualfilter T.I.P.S.® SealMax, IVD, PCR clean and sterile, 2 – 100 µL, 53 mm, yellow, 960 tips (10 racks x 96 tips)</t>
  </si>
  <si>
    <t>Наконечники ep Dualfilter T.I.P.S.® SealMax, IVD, PCR clean and sterile, 2 – 200 µL, 55 mm, yellow, 960 tips (10 racks x 96 tips)</t>
  </si>
  <si>
    <t>Наконечники ep Dualfilter T.I.P.S.® SealMax, IVD, PCR clean and sterile, 20 – 300 µL, 55 mm, orange, 960 tips (10 racks x 96 tips)</t>
  </si>
  <si>
    <t>Наконечники ep Dualfilter T.I.P.S.® SealMax, IVD, PCR clean and sterile, 50 – 1000 µL, 76 mm, blue, 960 tips (10 racks x 96 tips)</t>
  </si>
  <si>
    <t>Наконечники ep Dualfilter T.I.P.S.®, PCR clean and sterile, 0.1 – 5 mL, 120 mm, violet, 120 tips (5 racks x 24 tips)</t>
  </si>
  <si>
    <t>BR781316  BRAND PCR tubes, strips of 8</t>
  </si>
  <si>
    <t>Пробирки DNA LoBind® Tubes, DNA LoBind®, 2,0 мл, PCR clean, бесцвет., 250 пробир. (5 пак. × 50 пробир.)</t>
  </si>
  <si>
    <t>Расходные материалы</t>
  </si>
  <si>
    <t xml:space="preserve">Дополнительная заявка Бактек реактивов на 2022 год </t>
  </si>
  <si>
    <r>
      <t xml:space="preserve">245122 </t>
    </r>
    <r>
      <rPr>
        <b/>
        <sz val="11"/>
        <color theme="1"/>
        <rFont val="Times New Roman"/>
        <family val="1"/>
        <charset val="204"/>
      </rPr>
      <t xml:space="preserve">MGIT TM </t>
    </r>
    <r>
      <rPr>
        <sz val="11"/>
        <color theme="1"/>
        <rFont val="Times New Roman"/>
        <family val="1"/>
        <charset val="204"/>
      </rPr>
      <t>(7 ml tubes) пробирка7мл</t>
    </r>
  </si>
  <si>
    <r>
      <t xml:space="preserve">245124 ВАСТЕС MGIT 960 </t>
    </r>
    <r>
      <rPr>
        <b/>
        <sz val="11"/>
        <color theme="1"/>
        <rFont val="Times New Roman"/>
        <family val="1"/>
        <charset val="204"/>
      </rPr>
      <t>Supplement kit</t>
    </r>
    <r>
      <rPr>
        <sz val="11"/>
        <color theme="1"/>
        <rFont val="Times New Roman"/>
        <family val="1"/>
        <charset val="204"/>
      </rPr>
      <t xml:space="preserve"> </t>
    </r>
  </si>
  <si>
    <r>
      <t xml:space="preserve">245123   ВАСТЕС MGIT 960 </t>
    </r>
    <r>
      <rPr>
        <b/>
        <sz val="11"/>
        <color theme="1"/>
        <rFont val="Times New Roman"/>
        <family val="1"/>
        <charset val="204"/>
      </rPr>
      <t>SIRE kit</t>
    </r>
    <r>
      <rPr>
        <sz val="11"/>
        <color theme="1"/>
        <rFont val="Times New Roman"/>
        <family val="1"/>
        <charset val="204"/>
      </rPr>
      <t xml:space="preserve"> </t>
    </r>
  </si>
  <si>
    <r>
      <t>245128   BACTEC MGIT</t>
    </r>
    <r>
      <rPr>
        <b/>
        <sz val="11"/>
        <color theme="1"/>
        <rFont val="Times New Roman"/>
        <family val="1"/>
        <charset val="204"/>
      </rPr>
      <t xml:space="preserve">  </t>
    </r>
    <r>
      <rPr>
        <sz val="11"/>
        <color theme="1"/>
        <rFont val="Times New Roman"/>
        <family val="1"/>
        <charset val="204"/>
      </rPr>
      <t>960</t>
    </r>
    <r>
      <rPr>
        <b/>
        <sz val="11"/>
        <color theme="1"/>
        <rFont val="Times New Roman"/>
        <family val="1"/>
        <charset val="204"/>
      </rPr>
      <t xml:space="preserve"> PZA kit</t>
    </r>
  </si>
  <si>
    <r>
      <t xml:space="preserve">245115  ВАСТЕС MGIT 960 </t>
    </r>
    <r>
      <rPr>
        <b/>
        <sz val="11"/>
        <color theme="1"/>
        <rFont val="Times New Roman"/>
        <family val="1"/>
        <charset val="204"/>
      </rPr>
      <t>PZAmedium</t>
    </r>
    <r>
      <rPr>
        <sz val="11"/>
        <color theme="1"/>
        <rFont val="Times New Roman"/>
        <family val="1"/>
        <charset val="204"/>
      </rPr>
      <t xml:space="preserve"> </t>
    </r>
  </si>
  <si>
    <r>
      <t xml:space="preserve">245118  </t>
    </r>
    <r>
      <rPr>
        <b/>
        <sz val="11"/>
        <color theme="1"/>
        <rFont val="Times New Roman"/>
        <family val="1"/>
        <charset val="204"/>
      </rPr>
      <t xml:space="preserve">OADS </t>
    </r>
    <r>
      <rPr>
        <sz val="11"/>
        <color theme="1"/>
        <rFont val="Times New Roman"/>
        <family val="1"/>
        <charset val="204"/>
      </rPr>
      <t xml:space="preserve">supplement for 2nd lineDST </t>
    </r>
  </si>
  <si>
    <t xml:space="preserve">Калибровочный кит </t>
  </si>
  <si>
    <t xml:space="preserve">Итого </t>
  </si>
  <si>
    <t>Логистика</t>
  </si>
  <si>
    <t>Procurement of isolation of strains in liquid culture and DST (automated MGIT)</t>
  </si>
  <si>
    <r>
      <rPr>
        <b/>
        <sz val="13"/>
        <color theme="1"/>
        <rFont val="Calibri"/>
        <family val="2"/>
        <charset val="204"/>
        <scheme val="minor"/>
      </rPr>
      <t>Обоснование:</t>
    </r>
    <r>
      <rPr>
        <sz val="13"/>
        <color theme="1"/>
        <rFont val="Calibri"/>
        <family val="2"/>
        <charset val="204"/>
        <scheme val="minor"/>
      </rPr>
      <t xml:space="preserve"> Появление и распространение штаммов MTB с множественной устойчивостью к противотуберкулезным препаратам вызывает серьезную озабоченность в стране, учитывая, что Казахстан входит в число стран с высоким бременем МЛУ-ТБ. Современные методы выявления генотипов помогают ускорить диагностику и начало адекватной терапии, увеличивая шансы пациента на выздоровление и снижая вероятность передачи инфекции среди населения. Секвенирование нового поколения имеет отличный потенциал в качестве ведущей альтернативы, которая устраняет ограничения существующего фенотипического метода, который в настоящее время используется для диагностики ЛУ-ТБ в референс-лабораториях. По инициативе НТП из текущих грантовых средств страна приобрела систему полногеномного секвенирования для НРЛ в 2020 году. Поставщик провел первоначальное обучение специалистов в НРЛ на момент установки, в течение первого квартала 2021г. были приглашены специалисты Назарбаев Университета, после чего в рамках проекта USAID ETICA организовано дополнительное обучение по использованию системы и интерпретации результатов. В марте 2021 года в НРЛ были проведены первые расследования. Внедрение новых лекарств и схем лечения для пациентов с пре- и ШЛУ-ТБ потребует расширения исследований WGS для адекватного ведения случаев с этим спектром устойчивости.
 В течении 2020-2021 гг, связи с распространением пандемии COVID-19 в стране, правительство перенаправило огромные ресурсы, как финансовые, так и человеческие на борьбу с пандемией.  Учреждения противотуберкулезной службы были вовлечены в мероприятия по диагностике и лечению больных с осложнениями COVID-19, так и пациентов с коинфекцией ТБ/ COVID-19. Так в 2020 году Противотуберкулезная служба перепрофилировала больничный потенциал и развернула изолированные палаты от COVID-19 на 3197 коек (62% от общего числа коек) для оказания неотложной и неотложной помощи. Число госпитализированных с коронавирусной инфекцией выросло до 21 427, при этом более 98% всех пациентов перешли на успешную выписку. Лечение также было предоставлено 214 пациентам с коинфекцией ТБ / COVID-19, в том числе 94 пациентам с COVID-19, у которых после госпитализации был диагностирован туберкулез. Наличие сопутствующих инфекций было связано с плохими показателями здоровья, что привело к почти 10% смертей от общего числа таких госпитализаций. При создании отделений для лечения COVID-19 примерно 27% персонала (323 врача, 1026 среднего медицинского персонала и 1031 вспомогательный персонал) были переведены на выполнение повседневных неотложных функций. Восемь бактериологических лабораторий получили временные разрешения на проведение тестирования COVID-19 на оборудовании Xpert с использованием картриджей SARS-CoV-2. В 2021 году в связи с ухудшением эпидемиологической ситуации фтизиатрической службой было развернуто 2720 коек, а 1760 медицинских работников оказали помощь пациентам с COVID-19. В рамках подготовки к лечению пациентов с COVID-19 противотуберкулезные центры столкнулись с возросшими потребностями в медицинских расходных материалах и медицинском оборудовании СИЗ, которые поставлялись через механизм донорского финансирования, особенно в начале пандемии, и финансировались за счет внутренних ресурсов.
 Однако дальнейшее внедрение технологии NGS для быстрой диагностики ЛУ-ТБ сопряжено с особыми проблемами: высокими затратами на реагенты и обслуживание оборудования, что особенно обременительно для противотуберкулезной службы страны в контексте пандемии COVID-19. Для обеспечения стабильной работы этой современной технологии, ее валидации и последующего включения в национальный алгоритм диагностики требуется дополнительная закупка реагентов, расходных материалов для NGS, а также сервисное обслуживание секвенатора и системы фрагментного анализатора на 2022 год.
</t>
    </r>
  </si>
  <si>
    <r>
      <rPr>
        <b/>
        <sz val="13"/>
        <color theme="1"/>
        <rFont val="Arial Narrow"/>
        <family val="2"/>
        <charset val="204"/>
      </rPr>
      <t xml:space="preserve">Обоснование: </t>
    </r>
    <r>
      <rPr>
        <sz val="13"/>
        <color theme="1"/>
        <rFont val="Arial Narrow"/>
        <family val="2"/>
        <charset val="204"/>
      </rPr>
      <t xml:space="preserve">НРЛ при ННЦФ является координирующим звеном для всех противотуберкулёзных лаборатории Казахстана, где обследуются все тяжёлые случаи по всей стране, для которых проводятся исследования. В соответствии приказа 214 ТБ в РК, в части обследования больных туберкулёзом при диагностике и контроле химиотерапии - больных всех категории ежемесячно обследовать на ВАСТЕС MGIT 960   и рекомендациям ВОЗ 2018г. расширеное использование посевов и ТЛЧ методом БАКТЕК при переходе на КРЛ и ИРЛ ЛУ ТБ с использованием без инъекционных схем лечения ТБ. Также НРЛ </t>
    </r>
    <r>
      <rPr>
        <b/>
        <sz val="13"/>
        <color theme="1"/>
        <rFont val="Arial Narrow"/>
        <family val="2"/>
        <charset val="204"/>
      </rPr>
      <t>по всем методам</t>
    </r>
    <r>
      <rPr>
        <sz val="13"/>
        <color theme="1"/>
        <rFont val="Arial Narrow"/>
        <family val="2"/>
        <charset val="204"/>
      </rPr>
      <t xml:space="preserve"> проводит для всей лаборатории страны - ВОК "Внешняя оценка качества" (По 20 штаммов для 20 лаборатории).  Помимо этого готовит панель в СРЛ (Гаутинг, Германия), что является дополнительным расходом для бюджета ННЦФ. Также свой отпечаток накладывает и ситуация с Ковид, так в НРЛ  проводятся обследования пациентов с подозрением на Ковид.
В связи с расширением нагрузки на НРЛ актуальным является дополнительный закуп полного набора реактивов  и калибровочных китов для БАКТЕК.
</t>
    </r>
  </si>
  <si>
    <t xml:space="preserve">Дополнительная заявка Gene Xpert MTB/RIF на 2022 год </t>
  </si>
  <si>
    <r>
      <rPr>
        <b/>
        <sz val="13"/>
        <color theme="1"/>
        <rFont val="Calibri"/>
        <family val="2"/>
        <charset val="204"/>
        <scheme val="minor"/>
      </rPr>
      <t xml:space="preserve">Обоснование: </t>
    </r>
    <r>
      <rPr>
        <sz val="13"/>
        <color theme="1"/>
        <rFont val="Calibri"/>
        <family val="2"/>
        <charset val="204"/>
        <scheme val="minor"/>
      </rPr>
      <t>Согласно последним рекомендациям ВОЗ (2020 года) молекулярно-генетические методы диагностики туберкулеза и резистентности к рифампицину, в частности с использованием оборудования GeneXpert являются основным методом обследования лиц с подозрением на туберкулез. Внедрение быстрой молекулярной диагностики (технология GeneXpert) в Казахстане началось с 2012 года при поддержке различных доноров. К концу 2017 года в стране работало 56 устройств GeneXpert, в основном на уровне ПМСП и региональных противотуберкулезных центров, а также в пенитенциарном секторе. В 2018 году НПТ и Партнерство «Остановить туберкулез» оценили потребности страны в инструменте GeneXpert для обеспечения всеобщего доступа людей с подозрением на туберкулез к экспресс диагностическому тестированию в качестве основного метода диагностики легочного туберкулеза. В результате оценки потребность в инструментах GeneXpert в стране составила - 166 (только гражданский сектор, исключая НРЛ и Центры СПИД). При поддержке ГФ и USAID были закуплены и установлены дополнительные аппараты GeneXpert в медицинских учреждениях гражданского сектора, что улучшило доступ к услугам и минимизировало среднее расстояние для транспортировки образцов мокроты из районов в областные / межрайонные лаборатории GeneXpert. Широкое использование Xpert MTB / RIF для выявления туберкулеза легких и устойчивости к рифампицину улучшило диагностику и сократило время между обнаружением и лечением МЛУ-ТБ. В настоящее время лабораторная сеть Xpert включает 120 лабораторий со 126 инструментами GeneXpert (310 активных модулей) (кроме НРЛ): 94 машины размещены на уровне ПМСП, 31- в противотуберкулезных учреждениях, 1 - в пенитенциарной системе. Это привело к устойчивому увеличению количества выполненных тестов GeneXpert MTB / RIF с 14 500 в 2013 году до 78 723 в 2020 году. Общее количество тестов GeneXpert MTB / RIF выросло в 2020 году. Кроме того, охват молекулярной диагностикой предполагаемых лиц с подозрением на ТБ увеличился с От 68% в 2018 г. до 89% в 2020 г. До 2018 года страна закупала картриджи Xpert MTB/RIF на местном рынке по высоким ценам (72 USD за один картридж). В 2018 году был начат закуп Xpert MTB/RIF картриджей из государственных средств через международную платформу GDF Stop TB Partnership в соответствии с приказом Министра здравоохранения Республики Казахстан от 18 июля 2018 года № 434 «Об утверждении списка лекарственных средств, изделий медицинского назначения в рамках гарантированного объема бесплатной медицинской помощи и в системе обязательного социального медицинского страхования, закупаемых у Единого дистрибьютора». В приложении к данному приказу были включены картриджи Xpert MTB/RIF и в течении 2018-202 годов страна закупала картридж по доступной/преференциальной цене через Единого дистрибьютора - СК Фармация. В настоящее время в связи с измененым приказом № КР ДСМ-247/2020 от 11.12.2020 года в части правил формирования лекарственных средств и медицинских изделий по референтной цене картриджи Xpert MTB/RIF были исключены из списка.В настоящее время ННЦФ предпринимает шаги с целью изменения приказа МЗ в внесением картриджей Xpert MTB/RIF в список Единого дистрибьютора. Оценочное годовое количество картриджей для оборудования GeneXpert (Xpert MTB/RIF и/или ULTRA) для быстрой молекулярно-генетической диагностики туберкулеза и резистентности к рифампицину у взрослых и детей рассчитывается из ожидаемого количества больных туберкулезом (9,500-10,700) умноженное на 10 (ожидаемое количество симптоматиков подлежащих обследованию на один регистрируемый случай заболевания). Ожидаемое количество GeneXpert картриджей на 2022 год составляет 95,000-107,000 к которым нужно добавить 5% на ошибки. Общее оценочное количество необходимых картриджей составит 99,750-112,350 штук. В связи с выше изложенным СКК запрашивает через PAAR механизм закуп Xpert MTB/RIF, в количестве 50 500 картриджей  на 9 месяцев 2022 года, учитывая остаток картриджей в стране.</t>
    </r>
  </si>
  <si>
    <t>цена за еденицу в тг.</t>
  </si>
  <si>
    <t>Gene Xpert MTB/RIF</t>
  </si>
  <si>
    <t>набор (50 шт)</t>
  </si>
  <si>
    <t>Итого</t>
  </si>
  <si>
    <t xml:space="preserve">Заявка на картриджи XpertMTB/XDR-2022 год </t>
  </si>
  <si>
    <r>
      <rPr>
        <b/>
        <sz val="13"/>
        <color theme="1"/>
        <rFont val="Calibri"/>
        <family val="2"/>
        <charset val="204"/>
        <scheme val="minor"/>
      </rPr>
      <t>Обоснование:</t>
    </r>
    <r>
      <rPr>
        <sz val="13"/>
        <color theme="1"/>
        <rFont val="Calibri"/>
        <family val="2"/>
        <charset val="204"/>
        <scheme val="minor"/>
      </rPr>
      <t xml:space="preserve"> Из дополнительных средств GF C19RM ПР планируется закупить 20 единиц 10-канального аппарата GeneXpert в четырехмодульной конфигурации для бактериологических лабораторий противотуберкулёзной службы. Запланированные закупки соответствуют последним рекомендациям ВОЗ, оценкой, проведенной миссией Комитета зеленого света ВОЗ, которая подчеркнула необходимость рассмотрения общенационального внедрения технологии Xpert XDR, а также национальных протоколов и алгоритмов для скрининга лиц с подозрением на туберкулез. Согласно данным оценки НПТ, есть участки, на которых среднее расстояние для транспортировки образцов мокроты из районов в областные / межрайонные лаборатории GeneXpert превышает 100 км. Для решения проблемы доступа 20 единиц имеющегося 6-канального оборудования из бактериологических лабораторий ПТО будут переданы в выбранные периферийные районные учреждения.  На данных аппаратах помимо выявления ТБ/МЛУ будут исследованы материал от пациентов с подозрением на Ковид. Для полноценного использования метода  в соответствии с последними рекомендациями ВОЗ (2021 г.)  предлогается закуп  картриджей Xpert MTB / XDR  для региональных противотуберкулезных лабораторий. </t>
    </r>
  </si>
  <si>
    <t>XpertMTB/XDR</t>
  </si>
  <si>
    <t>набор (10 шт)</t>
  </si>
  <si>
    <t>Общая сумма всех заявок</t>
  </si>
  <si>
    <t>Procurement of Xpert MTB/XDR cartridges</t>
  </si>
  <si>
    <t>Procurement of Xpert MTB/RIF cartridges</t>
  </si>
  <si>
    <r>
      <rPr>
        <b/>
        <sz val="16"/>
        <color theme="1"/>
        <rFont val="Arial"/>
        <family val="2"/>
        <charset val="204"/>
      </rPr>
      <t xml:space="preserve">1. Reagents for sequencing method: </t>
    </r>
    <r>
      <rPr>
        <sz val="16"/>
        <color theme="1"/>
        <rFont val="Arial"/>
        <family val="2"/>
        <charset val="204"/>
      </rPr>
      <t xml:space="preserve">
Emergence and spread of MBT strains with multidrug resistance to TB drugs is a great concern to the country, considering that Kazakhstan is among the countries with high MDR-TB burden. Modern genotype detection methods help to accelerate diagnostics and start an adequate treatment, increasing patient’s chances of recovery and reducing a risk of infection transmission among population.   New generation sequencing has a great potential as a leading option, that addresses the constraints of the existing phenotypic method currently used for DR-TB diagnostics in the reference laboratories. At the NTP initiative, in 2020, the country purchased a whole genome sequencing system for NRL through the current grant funds. The supplier provided an initial training for the NRL specialists during the installation, the Nazarbayev University specialists were invited in the Quarter 1 of 2021, after which an additional training in the use of the system and interpretation of results was organized within the USAID ETICA project. The first investigations were carried out in the NRL in March 2021. Introduction of new drugs and treatment schemes for patients with pre- and XDR-TB will require to expand WGS researches for adequate management of cases with this range of resistance. Further introduction of the NGS technology for rapid DR-TB diagnostics associates with particular problems: high costs for reagents and equipment servicing, which is particularly burdensome for the TB service of the country in the context of the COVID-19 pandemic. In order to ensure a stable operation of this modern technology, its validation and further inclusion to the national diagnostic algorithm, an additional procurement of reagents, consumables for NGS, as well as service maintenance of sequencer and fragment analyzer system for 2022 are required.
</t>
    </r>
    <r>
      <rPr>
        <b/>
        <sz val="16"/>
        <color theme="1"/>
        <rFont val="Arial"/>
        <family val="2"/>
        <charset val="204"/>
      </rPr>
      <t>2. Bactec for the NRL at the NSCP:</t>
    </r>
    <r>
      <rPr>
        <sz val="16"/>
        <color theme="1"/>
        <rFont val="Arial"/>
        <family val="2"/>
        <charset val="204"/>
      </rPr>
      <t xml:space="preserve"> 
The NRL at the NSCP is a coordinating authority for all the TB laboratories of Kazakhstan, where all severe cases of the country are examined, for which the tests are made.  In accordance with the order 214 TB in the RK, with respect to the examination of TB patients during diagnostics and control of chemotherapy - patients of all categories are to be examined monthly using BACTEC MGIT 960 and according to the WHO recommendations 2018. Expanded use of culture and DST using Bactec method when transferring to STR and ITR of DR-TB with non-injection TB treatment schemes. The NRL also performs an “External quality assessment” EQA of all the methods for the whole country laboratory network of the TB Service (on 20 strains for 20 laboratories). Moreover, it prepares a panel at the SRL (Gauting, Germany), which is an additional cost for the NSCP budget. The COVID situation also effects it, as the COVID suspects are examined at the NRL.   
In connection with increasing the workload on the NRL, an additional procurement of full kit of reagents and calibration kits for Bactec is relevant.  
</t>
    </r>
    <r>
      <rPr>
        <b/>
        <sz val="16"/>
        <color theme="1"/>
        <rFont val="Arial"/>
        <family val="2"/>
        <charset val="204"/>
      </rPr>
      <t>3. Xpert MTB/Rif cartridges:</t>
    </r>
    <r>
      <rPr>
        <sz val="16"/>
        <color theme="1"/>
        <rFont val="Arial"/>
        <family val="2"/>
        <charset val="204"/>
      </rPr>
      <t xml:space="preserve">
Rationale: according to the latest WHO recommendations (2020), the molecular-genetic diagnostic methods of TB and resistance to Rifampicin, particularly using GeneXpert equipment, are the main method of examination for the TB suspects. Introduction of rapid molecular diagnostics (GeneXpert technology) in Kazakhstan was started in 2012 with support from various donors. By the end of 2017, 56 GeneXpert machines operated in the country, mostly at the level of PHC and regional TB centers, as well as in the penitentiary sector. In 2018, the NTP and Stop TB Partnership conducted an assessment of the country’s need in GeneXpert to ensure universal access to the express diagnostic testing as a main pulmonary TB diagnostic method for the TB suspects. As a result of the assessment, the need in GeneXpert machines in the country was 166 (only the civil sector, excluding the NRL and AIDS centers).       With support from the GF and USAID, additional GeneXpert machines were purchased and installed in the health facilities of the civil sector, which improved an access to services and minimized an average distance to transport sputum samples from districts to regional/interdistrict GeneXpert laboratories. Wide use of Xpert MTB / RIF to detect pulmonary TB and resistance to Rifampicin improved diagnostics and reduced the time from MDR-TB detection to treatment. Currently, the Xpert laboratory network includes 120 laboratories with 126 GeneXpert machines (310 active modules) (excluding NRL): 94 machines are installed at the PHC level, 31- at the TB facilities, 1 – in the penitentiary system. This led to steady increase in number of performed GeneXpert MTB / RIF tests from 14 500 in 2013 to 78 723 in 2020.   Total number of GeneXpert MTB / RIF tests increased in 2020. Moreover, a coverage of expected TB suspects with the molecular diagnostics increased from 68% in 2018 to 89% in 2020. Before 2018, the country purchased Xpert MTB/RIF cartridges on the local market at high prices (72 USD per one cartridge). In 2018, the procurement of Xpert MTB/RIF cartridges with the state funds through the international GDF Stop TB Partnership platform in accordance with the order of the Minister of Health of the Republic of Kazakhstan dated July 18, 2018 No 434 "On approval of the list of drugs, medical products within the guaranteed volume of free medical care and in the system of mandatory social health insurance, purchased from the Single Distributor" was started. Xpert MTB/RIF cartridges were included to the annex to this Order, and during 2018-2020 the country purchased cartridges at an affordable/ preferential price through the Single Distributor – SK Pharmacy. Currently, in connection with the amended Order No КР ДСМ-247/2020 dated December 11, 2020 in terms of rules for forming medicines and medical products at referent price, Xpert MTB/RIF cartridges were removed from the list.     At the moment, the NSCP is taking steps with the aim of amending the Order of the MoH to include Xpert MTB/RIF cartridges to the Single Distributor list. The estimated annual number of cartridges for GeneXpert equipment (Xpert MTB/RIF and/or ULTRA) for rapid molecular genetic diagnostics of TB and rifampicin resistance in adults and children is calculated from the expected number of TB patients (9,500-10,700) multiplied by 10 (expected number of persons with symptoms to be tested per one registered case).  The expected number of GeneXpert cartridges for 2022 is 95,000-107,000, and 5% should be added for mistakes. The total estimated number of required cartridges is 99,750-112,350. In view of the foregoing, the CCM is requesting Xpert MTB/RIF procurement in number of 50 500 cartridges through the PAAR mechanism for 9 months of 2022, considering the rest of cartridges in the country.   
</t>
    </r>
    <r>
      <rPr>
        <b/>
        <sz val="16"/>
        <color theme="1"/>
        <rFont val="Arial"/>
        <family val="2"/>
        <charset val="204"/>
      </rPr>
      <t>4. Xpert MTB/XDR cartridges:</t>
    </r>
    <r>
      <rPr>
        <sz val="16"/>
        <color theme="1"/>
        <rFont val="Arial"/>
        <family val="2"/>
        <charset val="204"/>
      </rPr>
      <t xml:space="preserve">
Rationale: It is planned to procure 20 units of 10-canal 4-module GeneXpert equipment for the bacteriological laboratories of the TB service with the additional funds of GF C19RM. The planned purchases are in compliance with the latest WHO recommendations and WHO Green Light Committee mission assessment, which stressed the need to consider nation-wide introduction of Xpert XDR technology, as well as national protocols and algorithms for screening TB suspects. As per the NTP assessment data, there are sites with average distances for transportation of sputum samples from the districts to the oblast/ interdistrict GeneXpert laboratories exceeding 100 km. 20 units of existing 6-channel equipment from the TBO bacteriological laboratories will be transferred to the selected peripheral district facilities in order to address the problem. These machines will be used to test samples from patients with suspected COVID in addition to TB/MDR detection. It is proposed to purchase Xpert MTB / XDR cartridges for the regional TB laboratories for full use of the method in accordance with the latest WHO recommendations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</si>
</sst>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_(* \(#,##0\);_(* &quot;-&quot;??_);_(@_)"/>
    <numFmt numFmtId="166" formatCode="[$-F800]dddd\,\ mmmm\ dd\,\ yyyy"/>
    <numFmt numFmtId="167" formatCode="_(* #,##0.00000000000000000_);_(* \(#,##0.00000000000000000\);_(@_)"/>
    <numFmt numFmtId="168" formatCode="_-* #,##0.00_р_._-;\-* #,##0.00_р_._-;_-* &quot;-&quot;??_р_._-;_-@_-"/>
    <numFmt numFmtId="169" formatCode="_-* #,##0_р_._-;\-* #,##0_р_._-;_-* &quot;-&quot;??_р_._-;_-@_-"/>
    <numFmt numFmtId="170" formatCode="_-* #,##0.0_р_._-;\-* #,##0.0_р_._-;_-* &quot;-&quot;??_р_._-;_-@_-"/>
  </numFmts>
  <fonts count="54" x14ac:knownFonts="1">
    <font>
      <sz val="11"/>
      <color theme="1"/>
      <name val="Calibri"/>
      <family val="2"/>
      <scheme val="minor"/>
    </font>
    <font>
      <sz val="11"/>
      <color theme="1"/>
      <name val="Calibri"/>
      <family val="2"/>
      <charset val="238"/>
      <scheme val="minor"/>
    </font>
    <font>
      <sz val="11"/>
      <color theme="1"/>
      <name val="Calibri"/>
      <family val="2"/>
    </font>
    <font>
      <sz val="11"/>
      <color theme="1"/>
      <name val="Arial"/>
      <family val="2"/>
    </font>
    <font>
      <b/>
      <sz val="11"/>
      <color theme="0"/>
      <name val="Calibri"/>
      <family val="2"/>
      <scheme val="minor"/>
    </font>
    <font>
      <b/>
      <sz val="11"/>
      <color theme="1"/>
      <name val="Calibri"/>
      <family val="2"/>
      <scheme val="minor"/>
    </font>
    <font>
      <b/>
      <sz val="11"/>
      <color theme="0"/>
      <name val="Arial"/>
      <family val="2"/>
    </font>
    <font>
      <b/>
      <sz val="11"/>
      <color theme="1"/>
      <name val="Arial"/>
      <family val="2"/>
    </font>
    <font>
      <b/>
      <sz val="14"/>
      <color theme="0"/>
      <name val="Arial"/>
      <family val="2"/>
    </font>
    <font>
      <sz val="12"/>
      <color theme="1"/>
      <name val="Arial"/>
      <family val="2"/>
    </font>
    <font>
      <sz val="14"/>
      <color theme="1"/>
      <name val="Arial"/>
      <family val="2"/>
    </font>
    <font>
      <b/>
      <u/>
      <sz val="12"/>
      <color theme="1"/>
      <name val="Arial"/>
      <family val="2"/>
    </font>
    <font>
      <b/>
      <sz val="18"/>
      <color theme="0"/>
      <name val="Arial"/>
      <family val="2"/>
    </font>
    <font>
      <b/>
      <i/>
      <sz val="14"/>
      <color rgb="FFC00000"/>
      <name val="Arial"/>
      <family val="2"/>
    </font>
    <font>
      <b/>
      <sz val="11"/>
      <name val="Arial"/>
      <family val="2"/>
    </font>
    <font>
      <sz val="11"/>
      <color rgb="FFFF0000"/>
      <name val="Calibri"/>
      <family val="2"/>
      <scheme val="minor"/>
    </font>
    <font>
      <sz val="10"/>
      <name val="Arial"/>
      <family val="2"/>
    </font>
    <font>
      <b/>
      <sz val="10"/>
      <name val="Arial"/>
      <family val="2"/>
    </font>
    <font>
      <b/>
      <sz val="11"/>
      <color rgb="FFFF0000"/>
      <name val="Arial"/>
      <family val="2"/>
    </font>
    <font>
      <sz val="11"/>
      <color rgb="FFFF0000"/>
      <name val="Arial"/>
      <family val="2"/>
    </font>
    <font>
      <sz val="11"/>
      <name val="Calibri"/>
      <family val="2"/>
      <scheme val="minor"/>
    </font>
    <font>
      <sz val="11"/>
      <name val="Arial"/>
      <family val="2"/>
    </font>
    <font>
      <sz val="7"/>
      <color rgb="FF000000"/>
      <name val="Verdana"/>
      <family val="2"/>
      <charset val="238"/>
    </font>
    <font>
      <b/>
      <sz val="11"/>
      <color theme="1"/>
      <name val="Arial"/>
      <family val="2"/>
      <charset val="238"/>
    </font>
    <font>
      <sz val="11"/>
      <color rgb="FF000000"/>
      <name val="Arial"/>
      <family val="2"/>
      <charset val="238"/>
    </font>
    <font>
      <b/>
      <sz val="10"/>
      <name val="Arial"/>
      <family val="2"/>
      <charset val="238"/>
    </font>
    <font>
      <sz val="11"/>
      <color theme="1"/>
      <name val="Calibri"/>
      <family val="2"/>
      <scheme val="minor"/>
    </font>
    <font>
      <sz val="10"/>
      <color theme="1"/>
      <name val="Arial"/>
      <family val="2"/>
    </font>
    <font>
      <sz val="11"/>
      <color theme="0"/>
      <name val="Arial"/>
      <family val="2"/>
    </font>
    <font>
      <sz val="18"/>
      <color theme="1"/>
      <name val="Arial"/>
      <family val="2"/>
      <charset val="238"/>
    </font>
    <font>
      <sz val="11"/>
      <color theme="1"/>
      <name val="Arial"/>
      <family val="2"/>
      <charset val="238"/>
    </font>
    <font>
      <sz val="16"/>
      <color theme="1"/>
      <name val="Calibri"/>
      <family val="2"/>
      <charset val="238"/>
      <scheme val="minor"/>
    </font>
    <font>
      <sz val="12"/>
      <color theme="1"/>
      <name val="Calibri"/>
      <family val="2"/>
      <charset val="238"/>
      <scheme val="minor"/>
    </font>
    <font>
      <sz val="9"/>
      <color rgb="FF1D1C1D"/>
      <name val="Arial"/>
      <family val="2"/>
      <charset val="238"/>
    </font>
    <font>
      <sz val="12"/>
      <color theme="1"/>
      <name val="Times New Roman"/>
      <family val="1"/>
    </font>
    <font>
      <sz val="10"/>
      <color rgb="FF000000"/>
      <name val="Segoe UI"/>
      <family val="2"/>
    </font>
    <font>
      <sz val="16"/>
      <color theme="1"/>
      <name val="Arial"/>
      <family val="2"/>
      <charset val="204"/>
    </font>
    <font>
      <sz val="11"/>
      <color theme="1"/>
      <name val="Calibri"/>
      <family val="2"/>
      <charset val="204"/>
      <scheme val="minor"/>
    </font>
    <font>
      <b/>
      <sz val="14"/>
      <color theme="1"/>
      <name val="Times New Roman"/>
      <family val="1"/>
      <charset val="204"/>
    </font>
    <font>
      <sz val="14"/>
      <color theme="1"/>
      <name val="Times New Roman"/>
      <family val="1"/>
      <charset val="204"/>
    </font>
    <font>
      <sz val="14"/>
      <color theme="1"/>
      <name val="Calibri"/>
      <family val="2"/>
      <charset val="204"/>
      <scheme val="minor"/>
    </font>
    <font>
      <b/>
      <sz val="14"/>
      <color rgb="FFFF0000"/>
      <name val="Times New Roman"/>
      <family val="1"/>
      <charset val="204"/>
    </font>
    <font>
      <sz val="12"/>
      <color rgb="FF000000"/>
      <name val="Times New Roman"/>
      <family val="1"/>
      <charset val="204"/>
    </font>
    <font>
      <sz val="11"/>
      <color indexed="8"/>
      <name val="Calibri"/>
      <family val="2"/>
      <scheme val="minor"/>
    </font>
    <font>
      <sz val="11"/>
      <color theme="1"/>
      <name val="Times New Roman"/>
      <family val="1"/>
      <charset val="204"/>
    </font>
    <font>
      <b/>
      <sz val="11"/>
      <color theme="1"/>
      <name val="Times New Roman"/>
      <family val="1"/>
      <charset val="204"/>
    </font>
    <font>
      <sz val="11"/>
      <color rgb="FFFF0000"/>
      <name val="Calibri"/>
      <family val="2"/>
      <charset val="204"/>
      <scheme val="minor"/>
    </font>
    <font>
      <sz val="13"/>
      <color theme="1"/>
      <name val="Calibri"/>
      <family val="2"/>
      <charset val="204"/>
      <scheme val="minor"/>
    </font>
    <font>
      <b/>
      <sz val="13"/>
      <color theme="1"/>
      <name val="Calibri"/>
      <family val="2"/>
      <charset val="204"/>
      <scheme val="minor"/>
    </font>
    <font>
      <b/>
      <sz val="11"/>
      <color theme="1"/>
      <name val="Calibri"/>
      <family val="2"/>
      <charset val="204"/>
      <scheme val="minor"/>
    </font>
    <font>
      <sz val="13"/>
      <color theme="1"/>
      <name val="Arial Narrow"/>
      <family val="2"/>
      <charset val="204"/>
    </font>
    <font>
      <b/>
      <sz val="13"/>
      <color theme="1"/>
      <name val="Arial Narrow"/>
      <family val="2"/>
      <charset val="204"/>
    </font>
    <font>
      <b/>
      <sz val="14"/>
      <name val="Times New Roman"/>
      <family val="1"/>
      <charset val="204"/>
    </font>
    <font>
      <b/>
      <sz val="16"/>
      <color theme="1"/>
      <name val="Arial"/>
      <family val="2"/>
      <charset val="204"/>
    </font>
  </fonts>
  <fills count="20">
    <fill>
      <patternFill patternType="none"/>
    </fill>
    <fill>
      <patternFill patternType="gray125"/>
    </fill>
    <fill>
      <patternFill patternType="solid">
        <fgColor theme="8"/>
        <bgColor theme="8"/>
      </patternFill>
    </fill>
    <fill>
      <patternFill patternType="solid">
        <fgColor rgb="FF003F7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9" tint="0.39994506668294322"/>
        <bgColor indexed="64"/>
      </patternFill>
    </fill>
    <fill>
      <patternFill patternType="solid">
        <fgColor theme="4" tint="0.39997558519241921"/>
        <bgColor indexed="64"/>
      </patternFill>
    </fill>
    <fill>
      <patternFill patternType="solid">
        <fgColor theme="4" tint="0.59999389629810485"/>
        <bgColor indexed="64"/>
      </patternFill>
    </fill>
  </fills>
  <borders count="26">
    <border>
      <left/>
      <right/>
      <top/>
      <bottom/>
      <diagonal/>
    </border>
    <border>
      <left style="thin">
        <color theme="8"/>
      </left>
      <right/>
      <top style="thin">
        <color theme="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auto="1"/>
      </left>
      <right style="hair">
        <color indexed="64"/>
      </right>
      <top style="hair">
        <color auto="1"/>
      </top>
      <bottom style="hair">
        <color indexed="64"/>
      </bottom>
      <diagonal/>
    </border>
    <border>
      <left style="hair">
        <color theme="8"/>
      </left>
      <right style="hair">
        <color theme="8"/>
      </right>
      <top style="hair">
        <color theme="8"/>
      </top>
      <bottom style="hair">
        <color theme="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1"/>
      </top>
      <bottom style="thin">
        <color rgb="FF003F72"/>
      </bottom>
      <diagonal/>
    </border>
    <border>
      <left/>
      <right/>
      <top style="thin">
        <color theme="1"/>
      </top>
      <bottom style="thin">
        <color theme="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theme="1"/>
      </bottom>
      <diagonal/>
    </border>
    <border>
      <left/>
      <right/>
      <top/>
      <bottom style="thin">
        <color theme="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6" fillId="0" borderId="0"/>
    <xf numFmtId="164" fontId="26" fillId="0" borderId="0" applyFont="0" applyFill="0" applyBorder="0" applyAlignment="0" applyProtection="0"/>
    <xf numFmtId="0" fontId="37" fillId="0" borderId="0"/>
    <xf numFmtId="168" fontId="37" fillId="0" borderId="0" applyFont="0" applyFill="0" applyBorder="0" applyAlignment="0" applyProtection="0"/>
    <xf numFmtId="0" fontId="43" fillId="0" borderId="0"/>
  </cellStyleXfs>
  <cellXfs count="207">
    <xf numFmtId="0" fontId="0" fillId="0" borderId="0" xfId="0"/>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xf>
    <xf numFmtId="0" fontId="0" fillId="5" borderId="0" xfId="0" applyFill="1" applyAlignment="1">
      <alignment horizontal="left" vertical="center"/>
    </xf>
    <xf numFmtId="0" fontId="0" fillId="9" borderId="0" xfId="0" applyFill="1" applyAlignment="1">
      <alignment horizontal="center" vertical="center" wrapText="1"/>
    </xf>
    <xf numFmtId="0" fontId="0" fillId="9" borderId="0" xfId="0" applyFill="1" applyAlignment="1">
      <alignment horizontal="center" vertical="center"/>
    </xf>
    <xf numFmtId="0" fontId="0" fillId="0" borderId="0" xfId="0" applyAlignment="1"/>
    <xf numFmtId="0" fontId="3" fillId="0" borderId="0" xfId="0" applyFont="1" applyAlignment="1" applyProtection="1">
      <alignment horizontal="center" vertical="center"/>
    </xf>
    <xf numFmtId="0" fontId="8" fillId="3" borderId="0" xfId="0" applyFont="1" applyFill="1" applyAlignment="1" applyProtection="1">
      <alignment horizontal="center" vertical="center"/>
    </xf>
    <xf numFmtId="0" fontId="10" fillId="6" borderId="2"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7" fillId="4" borderId="2" xfId="0" applyFont="1" applyFill="1" applyBorder="1" applyAlignment="1" applyProtection="1">
      <alignment horizontal="center" vertical="center"/>
    </xf>
    <xf numFmtId="0" fontId="7" fillId="4" borderId="2" xfId="0"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7" fillId="8" borderId="2" xfId="0" applyFont="1" applyFill="1" applyBorder="1" applyAlignment="1" applyProtection="1">
      <alignment horizontal="center" vertical="center" wrapText="1"/>
    </xf>
    <xf numFmtId="164" fontId="3" fillId="6" borderId="2" xfId="0" applyNumberFormat="1"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wrapText="1"/>
    </xf>
    <xf numFmtId="0" fontId="7" fillId="4" borderId="2" xfId="0" applyNumberFormat="1" applyFont="1" applyFill="1" applyBorder="1" applyAlignment="1" applyProtection="1">
      <alignment horizontal="center" vertical="center" wrapText="1"/>
    </xf>
    <xf numFmtId="164" fontId="7" fillId="4" borderId="2" xfId="0" applyNumberFormat="1" applyFont="1" applyFill="1" applyBorder="1" applyAlignment="1" applyProtection="1">
      <alignment horizontal="center" vertical="center"/>
    </xf>
    <xf numFmtId="0" fontId="7" fillId="4" borderId="2" xfId="0" applyNumberFormat="1" applyFont="1" applyFill="1" applyBorder="1" applyAlignment="1" applyProtection="1">
      <alignment horizontal="center" vertical="center"/>
    </xf>
    <xf numFmtId="0" fontId="7" fillId="10" borderId="2"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7" fillId="11" borderId="2" xfId="0" applyFont="1" applyFill="1" applyBorder="1" applyAlignment="1" applyProtection="1">
      <alignment horizontal="center" vertical="center" wrapText="1"/>
    </xf>
    <xf numFmtId="0" fontId="3" fillId="6" borderId="2" xfId="0" applyNumberFormat="1" applyFont="1" applyFill="1" applyBorder="1" applyAlignment="1" applyProtection="1">
      <alignment horizontal="left" vertical="center" wrapText="1"/>
    </xf>
    <xf numFmtId="0" fontId="3" fillId="6" borderId="2"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10" fillId="6" borderId="2"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wrapText="1"/>
      <protection locked="0"/>
    </xf>
    <xf numFmtId="0" fontId="3" fillId="6" borderId="2" xfId="0" applyNumberFormat="1" applyFont="1" applyFill="1" applyBorder="1" applyAlignment="1" applyProtection="1">
      <alignment horizontal="left" vertical="center" wrapText="1"/>
      <protection locked="0"/>
    </xf>
    <xf numFmtId="0" fontId="14" fillId="7" borderId="2"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12" fillId="3" borderId="0" xfId="0" applyFont="1" applyFill="1" applyAlignment="1" applyProtection="1">
      <alignment horizontal="center" vertical="center"/>
    </xf>
    <xf numFmtId="0" fontId="17" fillId="12" borderId="9" xfId="1" applyNumberFormat="1" applyFont="1" applyFill="1" applyBorder="1" applyAlignment="1"/>
    <xf numFmtId="0" fontId="18" fillId="13" borderId="2"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wrapText="1"/>
    </xf>
    <xf numFmtId="0" fontId="15" fillId="0" borderId="0" xfId="0" applyFont="1" applyAlignment="1">
      <alignment wrapText="1"/>
    </xf>
    <xf numFmtId="0" fontId="3" fillId="6" borderId="0" xfId="0" applyFont="1" applyFill="1" applyBorder="1" applyAlignment="1" applyProtection="1">
      <alignment horizontal="left" vertical="center" wrapText="1"/>
      <protection locked="0"/>
    </xf>
    <xf numFmtId="0" fontId="7" fillId="4" borderId="0" xfId="0" applyNumberFormat="1" applyFont="1" applyFill="1" applyBorder="1" applyAlignment="1" applyProtection="1">
      <alignment horizontal="center" vertical="center"/>
    </xf>
    <xf numFmtId="0" fontId="15" fillId="15" borderId="0" xfId="0" applyFont="1" applyFill="1" applyAlignment="1">
      <alignment wrapText="1"/>
    </xf>
    <xf numFmtId="0" fontId="17" fillId="12" borderId="0" xfId="1" applyNumberFormat="1" applyFont="1" applyFill="1" applyBorder="1" applyAlignment="1"/>
    <xf numFmtId="0" fontId="15" fillId="15" borderId="0" xfId="0" applyFont="1" applyFill="1"/>
    <xf numFmtId="0" fontId="18" fillId="16" borderId="0" xfId="0" applyFont="1" applyFill="1" applyAlignment="1" applyProtection="1">
      <alignment horizontal="left" vertical="center"/>
    </xf>
    <xf numFmtId="0" fontId="20" fillId="14" borderId="0" xfId="0" applyFont="1" applyFill="1"/>
    <xf numFmtId="0" fontId="22" fillId="0" borderId="0" xfId="0" applyFont="1"/>
    <xf numFmtId="0" fontId="0" fillId="0" borderId="0" xfId="0" applyFill="1"/>
    <xf numFmtId="1" fontId="0" fillId="0" borderId="0" xfId="0" applyNumberFormat="1"/>
    <xf numFmtId="0" fontId="0" fillId="0" borderId="0" xfId="0" applyNumberFormat="1"/>
    <xf numFmtId="0" fontId="17" fillId="12" borderId="10" xfId="1" applyNumberFormat="1" applyFont="1" applyFill="1" applyBorder="1" applyAlignment="1"/>
    <xf numFmtId="49" fontId="0" fillId="14" borderId="10" xfId="0" applyNumberFormat="1" applyFill="1" applyBorder="1"/>
    <xf numFmtId="0" fontId="0" fillId="14" borderId="10" xfId="0" applyFill="1" applyBorder="1"/>
    <xf numFmtId="0" fontId="17" fillId="12" borderId="10" xfId="1" applyNumberFormat="1" applyFont="1" applyFill="1" applyBorder="1" applyAlignment="1">
      <alignment wrapText="1"/>
    </xf>
    <xf numFmtId="49" fontId="0" fillId="0" borderId="10" xfId="0" applyNumberFormat="1" applyBorder="1"/>
    <xf numFmtId="0" fontId="0" fillId="0" borderId="0" xfId="0" applyAlignment="1">
      <alignment wrapText="1"/>
    </xf>
    <xf numFmtId="49" fontId="0" fillId="0" borderId="10" xfId="0" applyNumberFormat="1" applyFill="1" applyBorder="1"/>
    <xf numFmtId="0" fontId="0" fillId="0" borderId="10" xfId="0" applyFill="1" applyBorder="1"/>
    <xf numFmtId="49" fontId="0" fillId="0" borderId="0" xfId="0" applyNumberFormat="1" applyFill="1"/>
    <xf numFmtId="0" fontId="24" fillId="0" borderId="0" xfId="0" applyFont="1"/>
    <xf numFmtId="0" fontId="0" fillId="14" borderId="10" xfId="0" applyNumberFormat="1" applyFill="1" applyBorder="1"/>
    <xf numFmtId="0" fontId="0" fillId="14" borderId="0" xfId="0" applyNumberFormat="1" applyFill="1"/>
    <xf numFmtId="0" fontId="7" fillId="9" borderId="2" xfId="0" applyFont="1" applyFill="1" applyBorder="1" applyAlignment="1" applyProtection="1">
      <alignment horizontal="center" vertical="center" wrapText="1"/>
    </xf>
    <xf numFmtId="0" fontId="27" fillId="0" borderId="0" xfId="0" applyFont="1" applyAlignment="1">
      <alignment horizontal="center"/>
    </xf>
    <xf numFmtId="165" fontId="27" fillId="0" borderId="0" xfId="2" applyNumberFormat="1" applyFont="1" applyAlignment="1">
      <alignment horizontal="center"/>
    </xf>
    <xf numFmtId="0" fontId="1" fillId="0" borderId="0" xfId="0" applyFont="1" applyAlignment="1">
      <alignment horizontal="center" vertical="center" wrapText="1"/>
    </xf>
    <xf numFmtId="0" fontId="7" fillId="17" borderId="2" xfId="0" applyFont="1" applyFill="1" applyBorder="1" applyAlignment="1" applyProtection="1">
      <alignment horizontal="center" vertical="center" wrapText="1"/>
    </xf>
    <xf numFmtId="0" fontId="21" fillId="6" borderId="2" xfId="0" applyFont="1" applyFill="1" applyBorder="1" applyAlignment="1" applyProtection="1">
      <alignment horizontal="left" vertical="center" wrapText="1"/>
      <protection locked="0"/>
    </xf>
    <xf numFmtId="0" fontId="19" fillId="6" borderId="2" xfId="0" applyFont="1" applyFill="1" applyBorder="1" applyAlignment="1" applyProtection="1">
      <alignment horizontal="left" vertical="center" wrapText="1"/>
      <protection locked="0"/>
    </xf>
    <xf numFmtId="0" fontId="21" fillId="6" borderId="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xf>
    <xf numFmtId="0" fontId="19" fillId="6" borderId="2"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3" fillId="6" borderId="2"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0" borderId="0" xfId="0" applyFont="1" applyAlignment="1" applyProtection="1">
      <alignment horizontal="center" vertical="center"/>
      <protection hidden="1"/>
    </xf>
    <xf numFmtId="0" fontId="0" fillId="0" borderId="0" xfId="0" applyProtection="1">
      <protection hidden="1"/>
    </xf>
    <xf numFmtId="0" fontId="0" fillId="0" borderId="10" xfId="0" applyNumberFormat="1" applyFill="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0" borderId="16" xfId="0" applyFont="1" applyBorder="1" applyAlignment="1">
      <alignment vertical="center" wrapText="1"/>
    </xf>
    <xf numFmtId="0" fontId="31" fillId="0" borderId="0" xfId="0" applyFont="1" applyAlignment="1">
      <alignment wrapText="1"/>
    </xf>
    <xf numFmtId="0" fontId="30" fillId="6" borderId="2" xfId="0" applyFont="1" applyFill="1" applyBorder="1" applyAlignment="1" applyProtection="1">
      <alignment horizontal="center" vertical="center" wrapText="1"/>
      <protection locked="0"/>
    </xf>
    <xf numFmtId="0" fontId="32" fillId="0" borderId="0" xfId="0" applyFont="1"/>
    <xf numFmtId="0" fontId="32" fillId="0" borderId="0" xfId="0" applyFont="1" applyAlignment="1">
      <alignment wrapText="1"/>
    </xf>
    <xf numFmtId="0" fontId="32" fillId="0" borderId="0" xfId="0" applyFont="1" applyAlignment="1">
      <alignment horizontal="center" vertical="center" wrapText="1"/>
    </xf>
    <xf numFmtId="0" fontId="32" fillId="0" borderId="16" xfId="0" applyFont="1" applyBorder="1" applyAlignment="1">
      <alignment vertical="center" wrapText="1"/>
    </xf>
    <xf numFmtId="0" fontId="33" fillId="0" borderId="0" xfId="0" applyFont="1"/>
    <xf numFmtId="0" fontId="23" fillId="0" borderId="0" xfId="0" applyFont="1" applyAlignment="1">
      <alignment horizontal="left" vertical="justify" wrapText="1" indent="1"/>
    </xf>
    <xf numFmtId="0" fontId="0" fillId="0" borderId="7" xfId="0" applyBorder="1" applyAlignment="1">
      <alignment horizontal="center" wrapText="1"/>
    </xf>
    <xf numFmtId="0" fontId="0" fillId="0" borderId="5" xfId="0" applyBorder="1" applyAlignment="1">
      <alignment horizontal="center" wrapText="1"/>
    </xf>
    <xf numFmtId="166" fontId="0" fillId="0" borderId="0" xfId="0" applyNumberFormat="1"/>
    <xf numFmtId="166" fontId="0" fillId="0" borderId="21" xfId="0" applyNumberFormat="1" applyBorder="1" applyAlignment="1">
      <alignment horizontal="center" wrapText="1"/>
    </xf>
    <xf numFmtId="166" fontId="0" fillId="0" borderId="12" xfId="0" applyNumberFormat="1" applyBorder="1" applyAlignment="1">
      <alignment horizontal="center" wrapText="1"/>
    </xf>
    <xf numFmtId="0" fontId="5" fillId="18" borderId="3" xfId="0" applyFont="1" applyFill="1" applyBorder="1" applyAlignment="1">
      <alignment horizontal="center" vertical="center" wrapText="1"/>
    </xf>
    <xf numFmtId="166" fontId="5" fillId="18" borderId="11" xfId="0" applyNumberFormat="1" applyFont="1" applyFill="1" applyBorder="1" applyAlignment="1">
      <alignment horizontal="center" vertical="center" wrapText="1"/>
    </xf>
    <xf numFmtId="0" fontId="7" fillId="19" borderId="2" xfId="0" applyFont="1" applyFill="1" applyBorder="1" applyAlignment="1" applyProtection="1">
      <alignment horizontal="center" vertical="center" wrapText="1"/>
    </xf>
    <xf numFmtId="0" fontId="21" fillId="6" borderId="2" xfId="0" applyFont="1" applyFill="1" applyBorder="1" applyAlignment="1" applyProtection="1">
      <alignment vertical="center"/>
    </xf>
    <xf numFmtId="164" fontId="21" fillId="6" borderId="2" xfId="0" applyNumberFormat="1" applyFont="1" applyFill="1" applyBorder="1" applyAlignment="1" applyProtection="1">
      <alignment vertical="center"/>
    </xf>
    <xf numFmtId="4" fontId="3" fillId="6" borderId="2" xfId="0" applyNumberFormat="1" applyFont="1" applyFill="1" applyBorder="1" applyAlignment="1" applyProtection="1">
      <alignment horizontal="center" vertical="center" wrapText="1"/>
      <protection locked="0"/>
    </xf>
    <xf numFmtId="4" fontId="21" fillId="6" borderId="2" xfId="0" applyNumberFormat="1" applyFont="1" applyFill="1" applyBorder="1" applyAlignment="1" applyProtection="1">
      <alignment horizontal="left" vertical="center" wrapText="1"/>
      <protection locked="0"/>
    </xf>
    <xf numFmtId="4" fontId="21" fillId="0" borderId="2" xfId="0" applyNumberFormat="1" applyFont="1" applyFill="1" applyBorder="1" applyAlignment="1" applyProtection="1">
      <alignment horizontal="left" vertical="center" wrapText="1"/>
      <protection hidden="1"/>
    </xf>
    <xf numFmtId="0" fontId="34" fillId="0" borderId="0" xfId="0" applyFont="1" applyAlignment="1">
      <alignment vertical="center" wrapText="1"/>
    </xf>
    <xf numFmtId="0" fontId="5" fillId="18" borderId="11" xfId="0" applyFont="1" applyFill="1" applyBorder="1" applyAlignment="1">
      <alignment horizontal="center" vertical="center" wrapText="1"/>
    </xf>
    <xf numFmtId="0" fontId="0" fillId="0" borderId="21" xfId="0" applyBorder="1"/>
    <xf numFmtId="0" fontId="0" fillId="0" borderId="12" xfId="0" applyBorder="1"/>
    <xf numFmtId="0" fontId="0" fillId="0" borderId="0" xfId="0" applyBorder="1" applyAlignment="1">
      <alignment horizontal="left" vertical="center" wrapText="1"/>
    </xf>
    <xf numFmtId="0" fontId="0" fillId="0" borderId="21" xfId="0" applyBorder="1" applyAlignment="1">
      <alignment horizontal="center" wrapText="1"/>
    </xf>
    <xf numFmtId="0" fontId="0" fillId="0" borderId="12" xfId="0" applyBorder="1" applyAlignment="1">
      <alignment horizontal="center" wrapText="1"/>
    </xf>
    <xf numFmtId="0" fontId="5" fillId="18" borderId="20" xfId="0" applyFont="1" applyFill="1" applyBorder="1" applyAlignment="1">
      <alignment horizontal="left" vertical="center" wrapText="1"/>
    </xf>
    <xf numFmtId="0" fontId="0" fillId="0" borderId="15" xfId="0" applyBorder="1" applyAlignment="1">
      <alignment horizontal="left" vertical="center" wrapText="1"/>
    </xf>
    <xf numFmtId="164" fontId="3" fillId="0" borderId="2" xfId="0" applyNumberFormat="1" applyFont="1" applyBorder="1" applyAlignment="1">
      <alignment vertical="center"/>
    </xf>
    <xf numFmtId="49" fontId="0" fillId="0" borderId="0" xfId="0" applyNumberFormat="1"/>
    <xf numFmtId="49" fontId="20" fillId="14" borderId="0" xfId="0" applyNumberFormat="1" applyFont="1" applyFill="1"/>
    <xf numFmtId="167" fontId="28" fillId="0" borderId="0" xfId="0" applyNumberFormat="1" applyFont="1" applyAlignment="1" applyProtection="1">
      <alignment horizontal="center" vertical="center"/>
      <protection locked="0"/>
    </xf>
    <xf numFmtId="0" fontId="25" fillId="12" borderId="10" xfId="1" applyNumberFormat="1" applyFont="1" applyFill="1" applyBorder="1" applyAlignment="1"/>
    <xf numFmtId="0" fontId="0" fillId="0" borderId="10" xfId="0" applyBorder="1"/>
    <xf numFmtId="0" fontId="24" fillId="0" borderId="10" xfId="0" applyFont="1" applyBorder="1"/>
    <xf numFmtId="14" fontId="0" fillId="0" borderId="10" xfId="0" applyNumberFormat="1" applyFill="1" applyBorder="1"/>
    <xf numFmtId="167" fontId="0" fillId="0" borderId="10" xfId="0" applyNumberFormat="1" applyFill="1" applyBorder="1"/>
    <xf numFmtId="164" fontId="0" fillId="0" borderId="10" xfId="0" applyNumberFormat="1" applyFill="1" applyBorder="1"/>
    <xf numFmtId="49" fontId="0" fillId="0" borderId="10" xfId="0" applyNumberFormat="1" applyFill="1" applyBorder="1" applyAlignment="1">
      <alignment wrapText="1"/>
    </xf>
    <xf numFmtId="0" fontId="37" fillId="0" borderId="0" xfId="3"/>
    <xf numFmtId="0" fontId="38" fillId="0" borderId="2" xfId="3" applyFont="1" applyBorder="1" applyAlignment="1">
      <alignment horizontal="justify" vertical="center" wrapText="1"/>
    </xf>
    <xf numFmtId="169" fontId="38" fillId="0" borderId="2" xfId="4" applyNumberFormat="1" applyFont="1" applyFill="1" applyBorder="1" applyAlignment="1">
      <alignment horizontal="justify" vertical="center" wrapText="1"/>
    </xf>
    <xf numFmtId="0" fontId="37" fillId="0" borderId="2" xfId="3" applyBorder="1"/>
    <xf numFmtId="0" fontId="39" fillId="0" borderId="2" xfId="3" applyFont="1" applyFill="1" applyBorder="1" applyAlignment="1">
      <alignment horizontal="center" vertical="center" wrapText="1"/>
    </xf>
    <xf numFmtId="0" fontId="39" fillId="0" borderId="2" xfId="3" applyFont="1" applyBorder="1" applyAlignment="1">
      <alignment horizontal="justify" vertical="center" wrapText="1"/>
    </xf>
    <xf numFmtId="0" fontId="39" fillId="0" borderId="2" xfId="3" applyFont="1" applyFill="1" applyBorder="1" applyAlignment="1">
      <alignment horizontal="justify" vertical="center" wrapText="1"/>
    </xf>
    <xf numFmtId="0" fontId="39" fillId="0" borderId="2" xfId="3" applyFont="1" applyBorder="1" applyAlignment="1">
      <alignment horizontal="center" vertical="center" wrapText="1"/>
    </xf>
    <xf numFmtId="169" fontId="38" fillId="0" borderId="0" xfId="4" applyNumberFormat="1" applyFont="1" applyFill="1" applyBorder="1" applyAlignment="1">
      <alignment horizontal="justify" vertical="center" wrapText="1"/>
    </xf>
    <xf numFmtId="0" fontId="37" fillId="15" borderId="0" xfId="3" applyFill="1"/>
    <xf numFmtId="0" fontId="37" fillId="0" borderId="0" xfId="3" applyAlignment="1">
      <alignment horizontal="center"/>
    </xf>
    <xf numFmtId="169" fontId="38" fillId="0" borderId="12" xfId="4" applyNumberFormat="1" applyFont="1" applyFill="1" applyBorder="1" applyAlignment="1">
      <alignment horizontal="justify" vertical="center" wrapText="1"/>
    </xf>
    <xf numFmtId="169" fontId="37" fillId="0" borderId="0" xfId="3" applyNumberFormat="1"/>
    <xf numFmtId="0" fontId="39" fillId="0" borderId="2" xfId="3" applyFont="1" applyFill="1" applyBorder="1" applyAlignment="1">
      <alignment vertical="center" wrapText="1"/>
    </xf>
    <xf numFmtId="0" fontId="42" fillId="0" borderId="0" xfId="3" applyFont="1" applyFill="1" applyAlignment="1">
      <alignment vertical="center"/>
    </xf>
    <xf numFmtId="0" fontId="44" fillId="0" borderId="24" xfId="3" applyFont="1" applyBorder="1" applyAlignment="1">
      <alignment vertical="center" wrapText="1"/>
    </xf>
    <xf numFmtId="169" fontId="38" fillId="0" borderId="2" xfId="4" applyNumberFormat="1" applyFont="1" applyFill="1" applyBorder="1" applyAlignment="1">
      <alignment vertical="center" wrapText="1"/>
    </xf>
    <xf numFmtId="0" fontId="44" fillId="0" borderId="25" xfId="3" applyFont="1" applyBorder="1" applyAlignment="1">
      <alignment vertical="center" wrapText="1"/>
    </xf>
    <xf numFmtId="3" fontId="38" fillId="0" borderId="2" xfId="3" applyNumberFormat="1" applyFont="1" applyBorder="1" applyAlignment="1">
      <alignment horizontal="center" vertical="center" wrapText="1"/>
    </xf>
    <xf numFmtId="0" fontId="42" fillId="0" borderId="25" xfId="3" applyFont="1" applyBorder="1" applyAlignment="1">
      <alignment vertical="center" wrapText="1"/>
    </xf>
    <xf numFmtId="0" fontId="41" fillId="0" borderId="0" xfId="3" applyFont="1"/>
    <xf numFmtId="0" fontId="46" fillId="0" borderId="0" xfId="3" applyFont="1"/>
    <xf numFmtId="0" fontId="46" fillId="0" borderId="0" xfId="3" applyFont="1" applyAlignment="1">
      <alignment horizontal="center"/>
    </xf>
    <xf numFmtId="0" fontId="38" fillId="0" borderId="2" xfId="3" applyFont="1" applyBorder="1" applyAlignment="1">
      <alignment horizontal="center" vertical="center" wrapText="1"/>
    </xf>
    <xf numFmtId="169" fontId="39" fillId="0" borderId="2" xfId="4" applyNumberFormat="1" applyFont="1" applyFill="1" applyBorder="1" applyAlignment="1">
      <alignment horizontal="justify" vertical="center" wrapText="1"/>
    </xf>
    <xf numFmtId="0" fontId="37" fillId="0" borderId="0" xfId="3" applyFont="1" applyFill="1"/>
    <xf numFmtId="0" fontId="42" fillId="0" borderId="0" xfId="3" applyFont="1" applyFill="1"/>
    <xf numFmtId="169" fontId="39" fillId="0" borderId="0" xfId="4" applyNumberFormat="1" applyFont="1" applyFill="1" applyBorder="1" applyAlignment="1">
      <alignment horizontal="justify" vertical="center" wrapText="1"/>
    </xf>
    <xf numFmtId="0" fontId="49" fillId="0" borderId="0" xfId="3" applyFont="1"/>
    <xf numFmtId="0" fontId="37" fillId="0" borderId="0" xfId="3" applyAlignment="1"/>
    <xf numFmtId="169" fontId="38" fillId="0" borderId="2" xfId="3" applyNumberFormat="1" applyFont="1" applyBorder="1" applyAlignment="1">
      <alignment horizontal="center" vertical="center" wrapText="1"/>
    </xf>
    <xf numFmtId="0" fontId="44" fillId="0" borderId="0" xfId="3" applyFont="1" applyAlignment="1">
      <alignment vertical="center" wrapText="1"/>
    </xf>
    <xf numFmtId="169" fontId="52" fillId="0" borderId="0" xfId="3" applyNumberFormat="1" applyFont="1"/>
    <xf numFmtId="0" fontId="38" fillId="0" borderId="2" xfId="4" applyNumberFormat="1" applyFont="1" applyFill="1" applyBorder="1" applyAlignment="1">
      <alignment vertical="center" wrapText="1"/>
    </xf>
    <xf numFmtId="169" fontId="38" fillId="0" borderId="2" xfId="4" applyNumberFormat="1" applyFont="1" applyFill="1" applyBorder="1" applyAlignment="1">
      <alignment horizontal="center" vertical="center" wrapText="1"/>
    </xf>
    <xf numFmtId="169" fontId="41" fillId="0" borderId="2" xfId="4" applyNumberFormat="1" applyFont="1" applyFill="1" applyBorder="1" applyAlignment="1">
      <alignment horizontal="center" vertical="center" wrapText="1"/>
    </xf>
    <xf numFmtId="0" fontId="47" fillId="0" borderId="0" xfId="3" applyFont="1" applyAlignment="1">
      <alignment vertical="top" wrapText="1"/>
    </xf>
    <xf numFmtId="170" fontId="41" fillId="0" borderId="0" xfId="4" applyNumberFormat="1" applyFont="1"/>
    <xf numFmtId="0" fontId="36" fillId="6" borderId="14" xfId="0" applyFont="1" applyFill="1" applyBorder="1" applyAlignment="1" applyProtection="1">
      <alignment horizontal="left" vertical="top" wrapText="1"/>
      <protection locked="0"/>
    </xf>
    <xf numFmtId="0" fontId="3" fillId="6" borderId="14" xfId="0" applyFont="1" applyFill="1" applyBorder="1" applyAlignment="1" applyProtection="1">
      <alignment horizontal="left" vertical="top" wrapText="1"/>
      <protection locked="0"/>
    </xf>
    <xf numFmtId="0" fontId="8" fillId="3" borderId="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7" fillId="4" borderId="5" xfId="0" applyFont="1" applyFill="1" applyBorder="1" applyAlignment="1" applyProtection="1">
      <alignment vertical="center" wrapText="1"/>
    </xf>
    <xf numFmtId="0" fontId="7" fillId="4" borderId="15" xfId="0" applyFont="1" applyFill="1" applyBorder="1" applyAlignment="1" applyProtection="1">
      <alignment vertical="center" wrapText="1"/>
    </xf>
    <xf numFmtId="0" fontId="13" fillId="0" borderId="0" xfId="0" applyFont="1" applyAlignment="1" applyProtection="1">
      <alignment horizontal="center" vertical="center"/>
    </xf>
    <xf numFmtId="0" fontId="12" fillId="3" borderId="0" xfId="0" applyFont="1" applyFill="1" applyAlignment="1" applyProtection="1">
      <alignment horizontal="center" vertical="center"/>
    </xf>
    <xf numFmtId="0" fontId="9" fillId="5" borderId="7" xfId="0" applyFont="1" applyFill="1" applyBorder="1" applyAlignment="1" applyProtection="1">
      <alignment horizontal="left" vertical="center"/>
    </xf>
    <xf numFmtId="0" fontId="9" fillId="5" borderId="8" xfId="0" applyFont="1" applyFill="1" applyBorder="1" applyAlignment="1" applyProtection="1">
      <alignment horizontal="left" vertical="center"/>
    </xf>
    <xf numFmtId="0" fontId="9" fillId="5" borderId="3"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9" fillId="5" borderId="6" xfId="0" applyFont="1" applyFill="1" applyBorder="1" applyAlignment="1" applyProtection="1">
      <alignment horizontal="left"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21" fillId="6" borderId="17" xfId="0" applyFont="1" applyFill="1" applyBorder="1" applyAlignment="1" applyProtection="1">
      <alignment horizontal="left" vertical="center" wrapText="1"/>
    </xf>
    <xf numFmtId="0" fontId="21" fillId="6" borderId="19" xfId="0" applyFont="1" applyFill="1" applyBorder="1" applyAlignment="1" applyProtection="1">
      <alignment horizontal="left" vertical="center" wrapText="1"/>
    </xf>
    <xf numFmtId="0" fontId="21" fillId="6" borderId="17" xfId="0" applyFont="1" applyFill="1" applyBorder="1" applyAlignment="1" applyProtection="1">
      <alignment vertical="center"/>
    </xf>
    <xf numFmtId="0" fontId="21" fillId="6" borderId="19" xfId="0" applyFont="1" applyFill="1" applyBorder="1" applyAlignment="1" applyProtection="1">
      <alignment vertical="center"/>
    </xf>
    <xf numFmtId="0" fontId="7" fillId="4" borderId="22" xfId="0" applyFont="1" applyFill="1" applyBorder="1" applyAlignment="1" applyProtection="1">
      <alignment vertical="center" wrapText="1"/>
    </xf>
    <xf numFmtId="0" fontId="7" fillId="4" borderId="23" xfId="0" applyFont="1" applyFill="1" applyBorder="1" applyAlignment="1" applyProtection="1">
      <alignment vertical="center" wrapText="1"/>
    </xf>
    <xf numFmtId="0" fontId="38" fillId="0" borderId="17"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19" xfId="3" applyFont="1" applyBorder="1" applyAlignment="1">
      <alignment horizontal="center" vertical="center" wrapText="1"/>
    </xf>
    <xf numFmtId="0" fontId="50" fillId="0" borderId="0" xfId="3" applyFont="1" applyAlignment="1">
      <alignment horizontal="left" vertical="top" wrapText="1"/>
    </xf>
    <xf numFmtId="0" fontId="38" fillId="0" borderId="7" xfId="3" applyFont="1" applyBorder="1" applyAlignment="1">
      <alignment horizontal="center" vertical="center" wrapText="1"/>
    </xf>
    <xf numFmtId="0" fontId="38" fillId="0" borderId="0" xfId="3" applyFont="1" applyBorder="1" applyAlignment="1">
      <alignment horizontal="center" vertical="center" wrapText="1"/>
    </xf>
    <xf numFmtId="0" fontId="47" fillId="0" borderId="0" xfId="3" applyFont="1" applyAlignment="1">
      <alignment horizontal="left" vertical="top" wrapText="1"/>
    </xf>
    <xf numFmtId="0" fontId="38" fillId="0" borderId="0" xfId="3" applyFont="1" applyAlignment="1">
      <alignment horizontal="center" vertical="center" wrapText="1"/>
    </xf>
    <xf numFmtId="0" fontId="38" fillId="0" borderId="2" xfId="3" applyFont="1" applyBorder="1" applyAlignment="1">
      <alignment horizontal="center" vertical="center" wrapText="1"/>
    </xf>
    <xf numFmtId="0" fontId="39" fillId="0" borderId="2" xfId="3" applyFont="1" applyFill="1" applyBorder="1" applyAlignment="1">
      <alignment horizontal="center" vertical="center" wrapText="1"/>
    </xf>
    <xf numFmtId="0" fontId="39" fillId="0" borderId="17" xfId="3" applyFont="1" applyFill="1" applyBorder="1" applyAlignment="1">
      <alignment horizontal="center" vertical="center" wrapText="1"/>
    </xf>
    <xf numFmtId="0" fontId="39" fillId="0" borderId="18" xfId="3" applyFont="1" applyFill="1" applyBorder="1" applyAlignment="1">
      <alignment horizontal="center" vertical="center" wrapText="1"/>
    </xf>
    <xf numFmtId="0" fontId="39" fillId="0" borderId="19" xfId="3" applyFont="1" applyFill="1" applyBorder="1" applyAlignment="1">
      <alignment horizontal="center" vertical="center" wrapText="1"/>
    </xf>
    <xf numFmtId="0" fontId="3" fillId="6"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xf>
    <xf numFmtId="0" fontId="14" fillId="4" borderId="2" xfId="0" applyFont="1" applyFill="1" applyBorder="1" applyAlignment="1" applyProtection="1">
      <alignment horizontal="left" vertical="center" wrapText="1"/>
    </xf>
    <xf numFmtId="0" fontId="14" fillId="7" borderId="2" xfId="0" applyFont="1" applyFill="1" applyBorder="1" applyAlignment="1" applyProtection="1">
      <alignment horizontal="center" vertical="center" wrapText="1"/>
    </xf>
    <xf numFmtId="0" fontId="7" fillId="4" borderId="2"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2" xfId="0" applyFont="1" applyFill="1" applyBorder="1" applyAlignment="1" applyProtection="1">
      <alignment horizontal="center" vertical="center"/>
    </xf>
    <xf numFmtId="164" fontId="3" fillId="0" borderId="2"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cellXfs>
  <cellStyles count="6">
    <cellStyle name="Normal 10" xfId="1"/>
    <cellStyle name="Обычный" xfId="0" builtinId="0"/>
    <cellStyle name="Обычный 2" xfId="3"/>
    <cellStyle name="Обычный 3" xfId="5"/>
    <cellStyle name="Финансовый" xfId="2" builtinId="3"/>
    <cellStyle name="Финансовый 2" xfId="4"/>
  </cellStyles>
  <dxfs count="57">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fill>
        <patternFill patternType="solid">
          <fgColor indexed="64"/>
          <bgColor theme="2" tint="-9.9978637043366805E-2"/>
        </patternFill>
      </fill>
    </dxf>
    <dxf>
      <numFmt numFmtId="0" formatCode="General"/>
      <fill>
        <patternFill patternType="solid">
          <fgColor indexed="64"/>
          <bgColor theme="2" tint="-9.9978637043366805E-2"/>
        </patternFill>
      </fill>
    </dxf>
    <dxf>
      <border outline="0">
        <top style="hair">
          <color auto="1"/>
        </top>
      </border>
    </dxf>
    <dxf>
      <fill>
        <patternFill patternType="solid">
          <fgColor indexed="64"/>
          <bgColor theme="2" tint="-9.9978637043366805E-2"/>
        </patternFill>
      </fill>
    </dxf>
    <dxf>
      <border outline="0">
        <bottom style="hair">
          <color indexed="64"/>
        </bottom>
      </border>
    </dxf>
    <dxf>
      <font>
        <b/>
        <i val="0"/>
        <strike val="0"/>
        <condense val="0"/>
        <extend val="0"/>
        <outline val="0"/>
        <shadow val="0"/>
        <u val="none"/>
        <vertAlign val="baseline"/>
        <sz val="10"/>
        <color auto="1"/>
        <name val="Arial"/>
        <scheme val="none"/>
      </font>
      <numFmt numFmtId="0" formatCode="General"/>
      <fill>
        <patternFill patternType="solid">
          <fgColor theme="4"/>
          <bgColor theme="4"/>
        </patternFill>
      </fill>
      <alignment horizontal="general" vertical="bottom" textRotation="0" wrapText="0" indent="0" justifyLastLine="0" shrinkToFit="0" readingOrder="0"/>
    </dxf>
    <dxf>
      <fill>
        <patternFill>
          <bgColor rgb="FFFFC000"/>
        </patternFill>
      </fill>
    </dxf>
    <dxf>
      <fill>
        <patternFill>
          <bgColor rgb="FFFFC000"/>
        </patternFill>
      </fill>
    </dxf>
  </dxfs>
  <tableStyles count="0" defaultTableStyle="TableStyleMedium2" defaultPivotStyle="PivotStyleLight16"/>
  <colors>
    <mruColors>
      <color rgb="FF003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76200</xdr:rowOff>
    </xdr:from>
    <xdr:to>
      <xdr:col>1</xdr:col>
      <xdr:colOff>778459</xdr:colOff>
      <xdr:row>2</xdr:row>
      <xdr:rowOff>96086</xdr:rowOff>
    </xdr:to>
    <xdr:pic>
      <xdr:nvPicPr>
        <xdr:cNvPr id="2" name="Pictur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76200"/>
          <a:ext cx="2914650" cy="36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76200</xdr:rowOff>
    </xdr:from>
    <xdr:to>
      <xdr:col>1</xdr:col>
      <xdr:colOff>627329</xdr:colOff>
      <xdr:row>2</xdr:row>
      <xdr:rowOff>82751</xdr:rowOff>
    </xdr:to>
    <xdr:pic>
      <xdr:nvPicPr>
        <xdr:cNvPr id="2" name="Picture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76200"/>
          <a:ext cx="2913328" cy="36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12700</xdr:colOff>
          <xdr:row>2</xdr:row>
          <xdr:rowOff>152400</xdr:rowOff>
        </xdr:to>
        <xdr:sp macro="" textlink="">
          <xdr:nvSpPr>
            <xdr:cNvPr id="4097" name="Apttus_App"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577850</xdr:colOff>
          <xdr:row>2</xdr:row>
          <xdr:rowOff>152400</xdr:rowOff>
        </xdr:to>
        <xdr:sp macro="" textlink="">
          <xdr:nvSpPr>
            <xdr:cNvPr id="4098" name="Apttus_AppData"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419100</xdr:colOff>
          <xdr:row>2</xdr:row>
          <xdr:rowOff>152400</xdr:rowOff>
        </xdr:to>
        <xdr:sp macro="" textlink="">
          <xdr:nvSpPr>
            <xdr:cNvPr id="4099" name="Apttus_AppDataTracker"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3" name="Table3" displayName="Table3" ref="C10:D37" totalsRowShown="0" headerRowDxfId="54" dataDxfId="52" headerRowBorderDxfId="53" tableBorderDxfId="51" headerRowCellStyle="Normal 10">
  <tableColumns count="2">
    <tableColumn id="1" name=" Module Name" dataDxfId="50">
      <calculatedColumnFormula>IF('PAAR UPDATE'!$B$10 = 'Dropdown Data'!$F$7,$E11,IF('PAAR UPDATE'!$B$10 = 'Dropdown Data'!$F$10,$F11,IF('PAAR UPDATE'!$B$10 = 'Dropdown Data'!$F$13,$G11,"")))</calculatedColumnFormula>
    </tableColumn>
    <tableColumn id="2" name="Module-Coverage-Intervention Reference (Name)" dataDxfId="49"/>
  </tableColumns>
  <tableStyleInfo name="TableStyleMedium2" showFirstColumn="0" showLastColumn="0" showRowStripes="1" showColumnStripes="0"/>
</table>
</file>

<file path=xl/tables/table2.xml><?xml version="1.0" encoding="utf-8"?>
<table xmlns="http://schemas.openxmlformats.org/spreadsheetml/2006/main" id="1" name="Translation" displayName="Translation" ref="A1:AP4" totalsRowShown="0" headerRowDxfId="48" dataDxfId="47">
  <autoFilter ref="A1:AP4"/>
  <tableColumns count="42">
    <tableColumn id="1" name="Language" dataDxfId="46"/>
    <tableColumn id="2" name="Language2" dataDxfId="45"/>
    <tableColumn id="3" name="Document Title" dataDxfId="44"/>
    <tableColumn id="12" name="Version" dataDxfId="43"/>
    <tableColumn id="4" name="Header 1" dataDxfId="42"/>
    <tableColumn id="7" name="Summary Info 1" dataDxfId="41"/>
    <tableColumn id="8" name="Summary Info 2" dataDxfId="40"/>
    <tableColumn id="9" name="Summary Info 3" dataDxfId="39"/>
    <tableColumn id="10" name="Summary Info 4" dataDxfId="38"/>
    <tableColumn id="11" name="Summary Info 5" dataDxfId="37"/>
    <tableColumn id="5" name="Header 2" dataDxfId="36"/>
    <tableColumn id="14" name="Header 2 Instructions" dataDxfId="35"/>
    <tableColumn id="6" name="Header 3" dataDxfId="34"/>
    <tableColumn id="22" name="Header 3 Instructions" dataDxfId="33"/>
    <tableColumn id="23" name="PAAR 1" dataDxfId="32"/>
    <tableColumn id="24" name="PAAR 2" dataDxfId="31"/>
    <tableColumn id="25" name="PAAR 3" dataDxfId="30"/>
    <tableColumn id="26" name="PAAR 4" dataDxfId="29"/>
    <tableColumn id="20" name="PAAR 5" dataDxfId="28"/>
    <tableColumn id="27" name="PAAR 6" dataDxfId="27"/>
    <tableColumn id="28" name="PAAR 7" dataDxfId="26"/>
    <tableColumn id="21" name="PAAR 8" dataDxfId="25"/>
    <tableColumn id="29" name="PAAR 9" dataDxfId="24"/>
    <tableColumn id="30" name="PAAR 10" dataDxfId="23"/>
    <tableColumn id="33" name="PAAR 11" dataDxfId="22"/>
    <tableColumn id="13" name="Header 4" dataDxfId="21"/>
    <tableColumn id="17" name="Header 4 Instructions" dataDxfId="20"/>
    <tableColumn id="15" name="Additional Info 1" dataDxfId="19"/>
    <tableColumn id="16" name="Additional Info 2" dataDxfId="18"/>
    <tableColumn id="18" name="Additional Info 3" dataDxfId="17"/>
    <tableColumn id="19" name="Additional Info 4" dataDxfId="16"/>
    <tableColumn id="31" name="Column1" dataDxfId="15"/>
    <tableColumn id="32" name="Column2" dataDxfId="14"/>
    <tableColumn id="34" name="Column3" dataDxfId="13"/>
    <tableColumn id="35" name="Column4" dataDxfId="12"/>
    <tableColumn id="36" name="Column5" dataDxfId="11">
      <calculatedColumnFormula>IFERROR(VLOOKUP($B$10,Translation[],22,0),"")</calculatedColumnFormula>
    </tableColumn>
    <tableColumn id="37" name="Column6" dataDxfId="10"/>
    <tableColumn id="38" name="Column7" dataDxfId="9"/>
    <tableColumn id="39" name="Column8" dataDxfId="8"/>
    <tableColumn id="40" name="Column9" dataDxfId="7"/>
    <tableColumn id="41" name="Column10" dataDxfId="6"/>
    <tableColumn id="42" name="Column11" dataDxfId="5"/>
  </tableColumns>
  <tableStyleInfo name="TableStyleLight13" showFirstColumn="0" showLastColumn="0" showRowStripes="1" showColumnStripes="0"/>
</table>
</file>

<file path=xl/tables/table3.xml><?xml version="1.0" encoding="utf-8"?>
<table xmlns="http://schemas.openxmlformats.org/spreadsheetml/2006/main" id="2" name="For_EN" displayName="For_EN" ref="B26:D254" totalsRowShown="0" headerRowDxfId="4" dataDxfId="3">
  <autoFilter ref="B26:D254"/>
  <tableColumns count="3">
    <tableColumn id="1" name="Français" dataDxfId="2"/>
    <tableColumn id="2" name="Español" dataDxfId="1"/>
    <tableColumn id="3" name="English"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6.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 Id="rId9" Type="http://schemas.openxmlformats.org/officeDocument/2006/relationships/image" Target="../media/image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2"/>
  <sheetViews>
    <sheetView showGridLines="0" zoomScale="90" zoomScaleNormal="90" workbookViewId="0">
      <selection activeCell="A3" sqref="A3"/>
    </sheetView>
  </sheetViews>
  <sheetFormatPr defaultRowHeight="14.5" x14ac:dyDescent="0.35"/>
  <cols>
    <col min="1" max="1" width="91.453125" customWidth="1"/>
  </cols>
  <sheetData>
    <row r="1" spans="1:1" ht="373.65" customHeight="1" x14ac:dyDescent="0.35">
      <c r="A1" s="91" t="str">
        <f>IFERROR(VLOOKUP('PAAR UPDATE'!$B$10,Translation[],42,0),"")</f>
        <v>Instructions for applicants
Applicants are first requested to provide contextual information about the Prioritized Above Allocation Request in the field “Contextual Information” at the top of the PAAR Update tab.  This field should include information about why the selected modules were identified and prioritized for additional funding.  
The full list of PAAR interventions should be entered in the table “Prioritized Above Allocation Request - Update (PAAR Update)”.  Applicants should enter data into columns A-F, starting from the “Applicant Priority Rating” and ending with the “Brief Rationale”. The content for the three first columns is selected from pick-up lists. Ensure that the correct priority rating, module and intervention are selected for each individual line. The column “Amount Requested (USD)” is automatically completed once the value of the prior column is entered.
Please note: The fields “Brief Rationale (Translated)” and the last three green columns are not to be filled in by the applicants.
Please ensure that all applicant fields have been entered in the “Prioritized Above Allocation Request - Update (PAAR Update)” table. Once the contextual information and columns A-F are completed, please save the Excel file and include it as part of documents submitted with the Funding Request.</v>
      </c>
    </row>
    <row r="2" spans="1:1" x14ac:dyDescent="0.35">
      <c r="A2" t="s">
        <v>944</v>
      </c>
    </row>
  </sheetData>
  <sheetProtection algorithmName="SHA-512" hashValue="9+nYoQFV3Z2DPP3gbEebBvuFZ9TiYo7a2uG8aWxO2wp2SDJyBCKf+ATSzdDoQkF7PrxOKZsA9YJQdE01vufhHw==" saltValue="/nXdsTAtJYzniRkUtSWinw==" spinCount="100000" sheet="1" objects="1" scenarios="1" selectLockedCell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2:P312"/>
  <sheetViews>
    <sheetView topLeftCell="C1" zoomScale="80" zoomScaleNormal="80" workbookViewId="0">
      <selection activeCell="H6" sqref="H6"/>
    </sheetView>
  </sheetViews>
  <sheetFormatPr defaultRowHeight="14.5" x14ac:dyDescent="0.35"/>
  <cols>
    <col min="1" max="1" width="70.90625" customWidth="1"/>
    <col min="2" max="2" width="48.90625" customWidth="1"/>
    <col min="3" max="3" width="19.453125" customWidth="1"/>
    <col min="4" max="4" width="18.453125" customWidth="1"/>
    <col min="5" max="5" width="18.08984375" customWidth="1"/>
    <col min="6" max="6" width="16.08984375" customWidth="1"/>
    <col min="7" max="7" width="20.90625" customWidth="1"/>
    <col min="8" max="8" width="22.90625" customWidth="1"/>
    <col min="9" max="9" width="16.453125" bestFit="1" customWidth="1"/>
    <col min="10" max="10" width="14.90625" customWidth="1"/>
    <col min="11" max="11" width="14.54296875" customWidth="1"/>
  </cols>
  <sheetData>
    <row r="2" spans="1:16" x14ac:dyDescent="0.35">
      <c r="A2" s="35" t="s">
        <v>766</v>
      </c>
      <c r="B2" s="47" t="s">
        <v>1131</v>
      </c>
      <c r="C2" s="35" t="s">
        <v>772</v>
      </c>
      <c r="D2" s="115" t="s">
        <v>1133</v>
      </c>
      <c r="E2" t="s">
        <v>794</v>
      </c>
      <c r="F2" s="50">
        <f>COUNTA('PAAR UPDATE'!D112:D207)-SUMPRODUCT(COUNTIF('PAAR UPDATE'!D112:D207,"--select--"))</f>
        <v>0</v>
      </c>
    </row>
    <row r="3" spans="1:16" x14ac:dyDescent="0.35">
      <c r="A3" s="35" t="s">
        <v>770</v>
      </c>
      <c r="B3" s="116" t="s">
        <v>1132</v>
      </c>
      <c r="C3" s="35" t="s">
        <v>773</v>
      </c>
      <c r="D3" s="115" t="s">
        <v>110</v>
      </c>
      <c r="F3" t="s">
        <v>811</v>
      </c>
      <c r="I3" t="str">
        <f>SUBSTITUTE($D3,H4&amp;",",)</f>
        <v>Tuberculosis</v>
      </c>
      <c r="J3" t="str">
        <f>SUBSTITUTE(I3,I4&amp;",",)</f>
        <v>Tuberculosis</v>
      </c>
      <c r="K3" t="str">
        <f>IF(SUBSTITUTE(J3,J4&amp;",",)=I3,"",SUBSTITUTE(J3,J4&amp;",",))</f>
        <v/>
      </c>
      <c r="L3" t="str">
        <f t="shared" ref="L3:P3" si="0">IF(SUBSTITUTE(K3,K4&amp;",",)=J3,"",SUBSTITUTE(K3,K4&amp;",",))</f>
        <v/>
      </c>
      <c r="M3" t="str">
        <f t="shared" si="0"/>
        <v/>
      </c>
      <c r="N3" t="str">
        <f t="shared" si="0"/>
        <v/>
      </c>
      <c r="O3" t="str">
        <f t="shared" si="0"/>
        <v/>
      </c>
      <c r="P3" t="str">
        <f t="shared" si="0"/>
        <v/>
      </c>
    </row>
    <row r="4" spans="1:16" x14ac:dyDescent="0.35">
      <c r="A4" s="35" t="s">
        <v>771</v>
      </c>
      <c r="B4" s="116"/>
      <c r="C4" s="35" t="s">
        <v>774</v>
      </c>
      <c r="D4" s="115" t="s">
        <v>106</v>
      </c>
      <c r="F4" t="s">
        <v>812</v>
      </c>
      <c r="G4" t="s">
        <v>829</v>
      </c>
      <c r="H4" t="str">
        <f>IFERROR(LEFT(D3,FIND(",",D3)-1),D3)</f>
        <v>Tuberculosis</v>
      </c>
      <c r="I4" t="str">
        <f t="shared" ref="I4:J4" si="1">IF(IFERROR(LEFT(I3,FIND(",",I3)-1),I3)=H4,"",IFERROR(LEFT(I3,FIND(",",I3)-1),I3))</f>
        <v/>
      </c>
      <c r="J4" t="str">
        <f t="shared" si="1"/>
        <v>Tuberculosis</v>
      </c>
      <c r="K4" t="str">
        <f t="shared" ref="K4" si="2">IF(IFERROR(LEFT(K3,FIND(",",K3)-1),K3)=J4,"",IFERROR(LEFT(K3,FIND(",",K3)-1),K3))</f>
        <v/>
      </c>
      <c r="L4" t="str">
        <f t="shared" ref="L4" si="3">IF(IFERROR(LEFT(L3,FIND(",",L3)-1),L3)=K4,"",IFERROR(LEFT(L3,FIND(",",L3)-1),L3))</f>
        <v/>
      </c>
      <c r="M4" t="str">
        <f t="shared" ref="M4" si="4">IF(IFERROR(LEFT(M3,FIND(",",M3)-1),M3)=L4,"",IFERROR(LEFT(M3,FIND(",",M3)-1),M3))</f>
        <v/>
      </c>
      <c r="N4" t="str">
        <f t="shared" ref="N4" si="5">IF(IFERROR(LEFT(N3,FIND(",",N3)-1),N3)=M4,"",IFERROR(LEFT(N3,FIND(",",N3)-1),N3))</f>
        <v/>
      </c>
      <c r="O4" t="str">
        <f t="shared" ref="O4" si="6">IF(IFERROR(LEFT(O3,FIND(",",O3)-1),O3)=N4,"",IFERROR(LEFT(O3,FIND(",",O3)-1),O3))</f>
        <v/>
      </c>
      <c r="P4" t="str">
        <f t="shared" ref="P4" si="7">IF(IFERROR(LEFT(P3,FIND(",",P3)-1),P3)=O4,"",IFERROR(LEFT(P3,FIND(",",P3)-1),P3))</f>
        <v/>
      </c>
    </row>
    <row r="5" spans="1:16" x14ac:dyDescent="0.35">
      <c r="A5" s="44" t="s">
        <v>861</v>
      </c>
      <c r="B5" s="45">
        <f>IFERROR(IF(allocToParrUQD!P1&lt;&gt;0,allocToParrUQD!P1,""),"")</f>
        <v>1.79775</v>
      </c>
      <c r="C5" t="s">
        <v>11</v>
      </c>
      <c r="D5" t="s">
        <v>1135</v>
      </c>
      <c r="F5" t="s">
        <v>813</v>
      </c>
    </row>
    <row r="6" spans="1:16" x14ac:dyDescent="0.35">
      <c r="A6" s="44" t="s">
        <v>785</v>
      </c>
      <c r="B6" t="s">
        <v>1134</v>
      </c>
      <c r="C6" t="s">
        <v>786</v>
      </c>
      <c r="F6" t="s">
        <v>931</v>
      </c>
      <c r="G6" s="115" t="s">
        <v>1136</v>
      </c>
      <c r="H6" t="str">
        <f>IF(INT(LEFT(G6,4))&lt;2020,"",G6)</f>
        <v/>
      </c>
    </row>
    <row r="7" spans="1:16" x14ac:dyDescent="0.35">
      <c r="A7" s="44" t="s">
        <v>796</v>
      </c>
      <c r="B7" s="115"/>
      <c r="C7" s="44" t="s">
        <v>798</v>
      </c>
      <c r="D7" s="115" t="s">
        <v>1388</v>
      </c>
      <c r="E7" t="s">
        <v>828</v>
      </c>
      <c r="F7" t="s">
        <v>905</v>
      </c>
      <c r="G7" t="b">
        <f>IF(AND(F8="Grant Making",H8="Country Team"),TRUE,FALSE)</f>
        <v>0</v>
      </c>
    </row>
    <row r="8" spans="1:16" x14ac:dyDescent="0.35">
      <c r="A8" s="44" t="s">
        <v>797</v>
      </c>
      <c r="B8" t="str">
        <f xml:space="preserve"> CONCATENATE($D$7,"/",$B$7)</f>
        <v>Geography_130/FundingOpportunity_14/</v>
      </c>
      <c r="C8" s="44" t="s">
        <v>790</v>
      </c>
      <c r="D8" t="s">
        <v>1387</v>
      </c>
      <c r="E8" t="s">
        <v>896</v>
      </c>
      <c r="F8" s="115"/>
      <c r="G8" t="s">
        <v>897</v>
      </c>
      <c r="H8" s="115" t="s">
        <v>1137</v>
      </c>
    </row>
    <row r="9" spans="1:16" x14ac:dyDescent="0.35">
      <c r="A9" s="43"/>
      <c r="B9" s="40"/>
      <c r="C9" s="40"/>
      <c r="E9" s="43"/>
    </row>
    <row r="10" spans="1:16" x14ac:dyDescent="0.35">
      <c r="A10" s="52" t="s">
        <v>779</v>
      </c>
      <c r="B10" s="52"/>
      <c r="C10" s="52" t="s">
        <v>791</v>
      </c>
      <c r="D10" s="118" t="s">
        <v>831</v>
      </c>
      <c r="E10" s="52" t="s">
        <v>767</v>
      </c>
      <c r="F10" s="52" t="s">
        <v>768</v>
      </c>
      <c r="G10" s="52" t="s">
        <v>769</v>
      </c>
      <c r="H10" s="119" t="s">
        <v>766</v>
      </c>
      <c r="I10" s="120">
        <f>IFERROR(LOOKUP(2,1/(COUNTIF($I$9:I9,$C$11:$C$25)=0),$C$11:$C$25),IF($I$11=I9,"",IF(I9&lt;&gt;"",$I$11,"")))</f>
        <v>0</v>
      </c>
      <c r="J10" s="119" t="str">
        <f>D11</f>
        <v>[Module-Coverage-Intervention Reference (Name)]</v>
      </c>
      <c r="K10" s="119" t="s">
        <v>871</v>
      </c>
    </row>
    <row r="11" spans="1:16" hidden="1" x14ac:dyDescent="0.35">
      <c r="A11" s="53" t="s">
        <v>776</v>
      </c>
      <c r="B11" s="54"/>
      <c r="C11" s="54" t="str">
        <f>IF(OR(TranslatemoduleName="[Name]",TranslatemoduleName="[Name - FR]",TranslatemoduleName="[Name - ES]" ),"",TranslatemoduleName)</f>
        <v/>
      </c>
      <c r="D11" s="62" t="s">
        <v>830</v>
      </c>
      <c r="E11" s="54" t="str">
        <f>A11</f>
        <v>[Name]</v>
      </c>
      <c r="F11" s="53" t="s">
        <v>777</v>
      </c>
      <c r="G11" s="53" t="s">
        <v>778</v>
      </c>
      <c r="H11" s="119" t="s">
        <v>775</v>
      </c>
      <c r="I11" s="120" t="str">
        <f>IFERROR(LOOKUP(2,1/(COUNTIF($I$9:I10,$C$11:$C$25)=0),$C$11:$C$25),IF($I$11=I10,"",IF(I10&lt;&gt;"",$I$11,"")))</f>
        <v>RSSH: National health strategies</v>
      </c>
      <c r="J11" s="119" t="str">
        <f>D11</f>
        <v>[Module-Coverage-Intervention Reference (Name)]</v>
      </c>
      <c r="K11" s="119" t="s">
        <v>870</v>
      </c>
    </row>
    <row r="12" spans="1:16" x14ac:dyDescent="0.35">
      <c r="A12" s="53" t="s">
        <v>1138</v>
      </c>
      <c r="B12" s="54"/>
      <c r="C12" s="54" t="str">
        <f>IF(OR(TranslatemoduleName="[Name]",TranslatemoduleName="[Name - FR]",TranslatemoduleName="[Name - ES]" ),"",TranslatemoduleName)</f>
        <v>COVID-19</v>
      </c>
      <c r="D12" s="62" t="s">
        <v>1139</v>
      </c>
      <c r="E12" s="54" t="str">
        <f t="shared" ref="E12:E24" si="8">A12</f>
        <v>COVID-19</v>
      </c>
      <c r="F12" s="53" t="s">
        <v>1138</v>
      </c>
      <c r="G12" s="53" t="s">
        <v>1138</v>
      </c>
      <c r="H12" s="119" t="s">
        <v>1140</v>
      </c>
      <c r="I12" s="120" t="str">
        <f>IFERROR(LOOKUP(2,1/(COUNTIF($I$9:I11,$C$11:$C$25)=0),$C$11:$C$25),IF($I$11=I11,"",IF(I11&lt;&gt;"",$I$11,"")))</f>
        <v>RSSH: Financial management systems</v>
      </c>
      <c r="J12" s="119" t="str">
        <f t="shared" ref="J12:J24" si="9">D12</f>
        <v>MCI-01233</v>
      </c>
      <c r="K12" s="119" t="s">
        <v>110</v>
      </c>
    </row>
    <row r="13" spans="1:16" x14ac:dyDescent="0.35">
      <c r="A13" s="53" t="s">
        <v>162</v>
      </c>
      <c r="B13" s="54"/>
      <c r="C13" s="54" t="str">
        <f>IF(OR(TranslatemoduleName="[Name]",TranslatemoduleName="[Name - FR]",TranslatemoduleName="[Name - ES]" ),"",TranslatemoduleName)</f>
        <v>RSSH: Community responses and systems</v>
      </c>
      <c r="D13" s="62" t="s">
        <v>1141</v>
      </c>
      <c r="E13" s="54" t="str">
        <f t="shared" si="8"/>
        <v>RSSH: Community responses and systems</v>
      </c>
      <c r="F13" s="53" t="s">
        <v>1142</v>
      </c>
      <c r="G13" s="53" t="s">
        <v>1143</v>
      </c>
      <c r="H13" s="119" t="s">
        <v>1140</v>
      </c>
      <c r="I13" s="120" t="str">
        <f>IFERROR(LOOKUP(2,1/(COUNTIF($I$9:I12,$C$11:$C$25)=0),$C$11:$C$25),IF($I$11=I12,"",IF(I12&lt;&gt;"",$I$11,"")))</f>
        <v>RSSH: Procurement and supply chain management systems</v>
      </c>
      <c r="J13" s="119" t="str">
        <f t="shared" si="9"/>
        <v>MCI-00021</v>
      </c>
      <c r="K13" s="119" t="s">
        <v>110</v>
      </c>
    </row>
    <row r="14" spans="1:16" x14ac:dyDescent="0.35">
      <c r="A14" s="53" t="s">
        <v>139</v>
      </c>
      <c r="B14" s="54"/>
      <c r="C14" s="54" t="str">
        <f>IF(OR(TranslatemoduleName="[Name]",TranslatemoduleName="[Name - FR]",TranslatemoduleName="[Name - ES]" ),"",TranslatemoduleName)</f>
        <v>Program management</v>
      </c>
      <c r="D14" s="62" t="s">
        <v>1144</v>
      </c>
      <c r="E14" s="54" t="str">
        <f t="shared" si="8"/>
        <v>Program management</v>
      </c>
      <c r="F14" s="53" t="s">
        <v>209</v>
      </c>
      <c r="G14" s="53" t="s">
        <v>210</v>
      </c>
      <c r="H14" s="119" t="s">
        <v>1140</v>
      </c>
      <c r="I14" s="120" t="str">
        <f>IFERROR(LOOKUP(2,1/(COUNTIF($I$9:I13,$C$11:$C$25)=0),$C$11:$C$25),IF($I$11=I13,"",IF(I13&lt;&gt;"",$I$11,"")))</f>
        <v>RSSH: Human resources for health (HRH), including community health workers</v>
      </c>
      <c r="J14" s="119" t="str">
        <f t="shared" si="9"/>
        <v>MCI-00023</v>
      </c>
      <c r="K14" s="119" t="s">
        <v>110</v>
      </c>
    </row>
    <row r="15" spans="1:16" x14ac:dyDescent="0.35">
      <c r="A15" s="53" t="s">
        <v>1145</v>
      </c>
      <c r="B15" s="54"/>
      <c r="C15" s="54" t="str">
        <f>IF(OR(TranslatemoduleName="[Name]",TranslatemoduleName="[Name - FR]",TranslatemoduleName="[Name - ES]" ),"",TranslatemoduleName)</f>
        <v>RSSH: Health management information systems and M&amp;E</v>
      </c>
      <c r="D15" s="62" t="s">
        <v>1146</v>
      </c>
      <c r="E15" s="54" t="str">
        <f t="shared" si="8"/>
        <v>RSSH: Health management information systems and M&amp;E</v>
      </c>
      <c r="F15" s="53" t="s">
        <v>1147</v>
      </c>
      <c r="G15" s="53" t="s">
        <v>1148</v>
      </c>
      <c r="H15" s="119" t="s">
        <v>1140</v>
      </c>
      <c r="I15" s="120" t="str">
        <f>IFERROR(LOOKUP(2,1/(COUNTIF($I$9:I14,$C$11:$C$25)=0),$C$11:$C$25),IF($I$11=I14,"",IF(I14&lt;&gt;"",$I$11,"")))</f>
        <v>RSSH: Integrated service delivery and quality improvement</v>
      </c>
      <c r="J15" s="119" t="str">
        <f t="shared" si="9"/>
        <v>MCI-00022</v>
      </c>
      <c r="K15" s="119" t="s">
        <v>110</v>
      </c>
    </row>
    <row r="16" spans="1:16" x14ac:dyDescent="0.35">
      <c r="A16" s="53" t="s">
        <v>1149</v>
      </c>
      <c r="B16" s="54"/>
      <c r="C16" s="54" t="str">
        <f>IF(OR(TranslatemoduleName="[Name]",TranslatemoduleName="[Name - FR]",TranslatemoduleName="[Name - ES]" ),"",TranslatemoduleName)</f>
        <v>Payment for results</v>
      </c>
      <c r="D16" s="62" t="s">
        <v>1150</v>
      </c>
      <c r="E16" s="54" t="str">
        <f t="shared" si="8"/>
        <v>Payment for results</v>
      </c>
      <c r="F16" s="53" t="s">
        <v>1151</v>
      </c>
      <c r="G16" s="53" t="s">
        <v>1152</v>
      </c>
      <c r="H16" s="119" t="s">
        <v>1140</v>
      </c>
      <c r="I16" s="120" t="str">
        <f>IFERROR(LOOKUP(2,1/(COUNTIF($I$9:I15,$C$11:$C$25)=0),$C$11:$C$25),IF($I$11=I15,"",IF(I15&lt;&gt;"",$I$11,"")))</f>
        <v>TB/HIV</v>
      </c>
      <c r="J16" s="119" t="str">
        <f t="shared" si="9"/>
        <v>MCI-00024</v>
      </c>
      <c r="K16" s="119" t="s">
        <v>110</v>
      </c>
    </row>
    <row r="17" spans="1:11" x14ac:dyDescent="0.35">
      <c r="A17" s="53" t="s">
        <v>1153</v>
      </c>
      <c r="B17" s="54"/>
      <c r="C17" s="54" t="str">
        <f>IF(OR(TranslatemoduleName="[Name]",TranslatemoduleName="[Name - FR]",TranslatemoduleName="[Name - ES]" ),"",TranslatemoduleName)</f>
        <v>MDR-TB</v>
      </c>
      <c r="D17" s="62" t="s">
        <v>1154</v>
      </c>
      <c r="E17" s="54" t="str">
        <f t="shared" si="8"/>
        <v>MDR-TB</v>
      </c>
      <c r="F17" s="53" t="s">
        <v>243</v>
      </c>
      <c r="G17" s="53" t="s">
        <v>1155</v>
      </c>
      <c r="H17" s="119" t="s">
        <v>1140</v>
      </c>
      <c r="I17" s="120" t="str">
        <f>IFERROR(LOOKUP(2,1/(COUNTIF($I$9:I16,$C$11:$C$25)=0),$C$11:$C$25),IF($I$11=I16,"",IF(I16&lt;&gt;"",$I$11,"")))</f>
        <v>TB care and prevention</v>
      </c>
      <c r="J17" s="119" t="str">
        <f t="shared" si="9"/>
        <v>MCI-00010</v>
      </c>
      <c r="K17" s="119" t="s">
        <v>110</v>
      </c>
    </row>
    <row r="18" spans="1:11" x14ac:dyDescent="0.35">
      <c r="A18" s="53" t="s">
        <v>169</v>
      </c>
      <c r="B18" s="54"/>
      <c r="C18" s="54" t="str">
        <f>IF(OR(TranslatemoduleName="[Name]",TranslatemoduleName="[Name - FR]",TranslatemoduleName="[Name - ES]" ),"",TranslatemoduleName)</f>
        <v>TB care and prevention</v>
      </c>
      <c r="D18" s="62" t="s">
        <v>1156</v>
      </c>
      <c r="E18" s="54" t="str">
        <f t="shared" si="8"/>
        <v>TB care and prevention</v>
      </c>
      <c r="F18" s="53" t="s">
        <v>246</v>
      </c>
      <c r="G18" s="53" t="s">
        <v>1157</v>
      </c>
      <c r="H18" s="119" t="s">
        <v>1140</v>
      </c>
      <c r="I18" s="120" t="str">
        <f>IFERROR(LOOKUP(2,1/(COUNTIF($I$9:I17,$C$11:$C$25)=0),$C$11:$C$25),IF($I$11=I17,"",IF(I17&lt;&gt;"",$I$11,"")))</f>
        <v>MDR-TB</v>
      </c>
      <c r="J18" s="119" t="str">
        <f t="shared" si="9"/>
        <v>MCI-00008</v>
      </c>
      <c r="K18" s="119" t="s">
        <v>110</v>
      </c>
    </row>
    <row r="19" spans="1:11" x14ac:dyDescent="0.35">
      <c r="A19" s="53" t="s">
        <v>120</v>
      </c>
      <c r="B19" s="54"/>
      <c r="C19" s="54" t="str">
        <f>IF(OR(TranslatemoduleName="[Name]",TranslatemoduleName="[Name - FR]",TranslatemoduleName="[Name - ES]" ),"",TranslatemoduleName)</f>
        <v>TB/HIV</v>
      </c>
      <c r="D19" s="62" t="s">
        <v>1158</v>
      </c>
      <c r="E19" s="54" t="str">
        <f t="shared" si="8"/>
        <v>TB/HIV</v>
      </c>
      <c r="F19" s="53" t="s">
        <v>1159</v>
      </c>
      <c r="G19" s="53" t="s">
        <v>137</v>
      </c>
      <c r="H19" s="119" t="s">
        <v>1140</v>
      </c>
      <c r="I19" s="120" t="str">
        <f>IFERROR(LOOKUP(2,1/(COUNTIF($I$9:I18,$C$11:$C$25)=0),$C$11:$C$25),IF($I$11=I18,"",IF(I18&lt;&gt;"",$I$11,"")))</f>
        <v>Payment for results</v>
      </c>
      <c r="J19" s="119" t="str">
        <f t="shared" si="9"/>
        <v>MCI-00009</v>
      </c>
      <c r="K19" s="119" t="s">
        <v>110</v>
      </c>
    </row>
    <row r="20" spans="1:11" x14ac:dyDescent="0.35">
      <c r="A20" s="53" t="s">
        <v>155</v>
      </c>
      <c r="B20" s="54"/>
      <c r="C20" s="54" t="str">
        <f>IF(OR(TranslatemoduleName="[Name]",TranslatemoduleName="[Name - FR]",TranslatemoduleName="[Name - ES]" ),"",TranslatemoduleName)</f>
        <v>RSSH: Integrated service delivery and quality improvement</v>
      </c>
      <c r="D20" s="62" t="s">
        <v>1160</v>
      </c>
      <c r="E20" s="54" t="str">
        <f t="shared" si="8"/>
        <v>RSSH: Integrated service delivery and quality improvement</v>
      </c>
      <c r="F20" s="53" t="s">
        <v>1161</v>
      </c>
      <c r="G20" s="53" t="s">
        <v>1162</v>
      </c>
      <c r="H20" s="119" t="s">
        <v>1140</v>
      </c>
      <c r="I20" s="120" t="str">
        <f>IFERROR(LOOKUP(2,1/(COUNTIF($I$9:I19,$C$11:$C$25)=0),$C$11:$C$25),IF($I$11=I19,"",IF(I19&lt;&gt;"",$I$11,"")))</f>
        <v>RSSH: Health management information systems and M&amp;E</v>
      </c>
      <c r="J20" s="119" t="str">
        <f t="shared" si="9"/>
        <v>MCI-00014</v>
      </c>
      <c r="K20" s="119" t="s">
        <v>110</v>
      </c>
    </row>
    <row r="21" spans="1:11" x14ac:dyDescent="0.35">
      <c r="A21" s="53" t="s">
        <v>1163</v>
      </c>
      <c r="B21" s="54"/>
      <c r="C21" s="54" t="str">
        <f>IF(OR(TranslatemoduleName="[Name]",TranslatemoduleName="[Name - FR]",TranslatemoduleName="[Name - ES]" ),"",TranslatemoduleName)</f>
        <v>RSSH: Human resources for health (HRH), including community health workers</v>
      </c>
      <c r="D21" s="62" t="s">
        <v>1164</v>
      </c>
      <c r="E21" s="54" t="str">
        <f t="shared" si="8"/>
        <v>RSSH: Human resources for health (HRH), including community health workers</v>
      </c>
      <c r="F21" s="53" t="s">
        <v>1165</v>
      </c>
      <c r="G21" s="53" t="s">
        <v>1166</v>
      </c>
      <c r="H21" s="119" t="s">
        <v>1140</v>
      </c>
      <c r="I21" s="120" t="str">
        <f>IFERROR(LOOKUP(2,1/(COUNTIF($I$9:I20,$C$11:$C$25)=0),$C$11:$C$25),IF($I$11=I20,"",IF(I20&lt;&gt;"",$I$11,"")))</f>
        <v>Program management</v>
      </c>
      <c r="J21" s="119" t="str">
        <f t="shared" si="9"/>
        <v>MCI-00015</v>
      </c>
      <c r="K21" s="119" t="s">
        <v>110</v>
      </c>
    </row>
    <row r="22" spans="1:11" x14ac:dyDescent="0.35">
      <c r="A22" s="53" t="s">
        <v>147</v>
      </c>
      <c r="B22" s="54"/>
      <c r="C22" s="54" t="str">
        <f>IF(OR(TranslatemoduleName="[Name]",TranslatemoduleName="[Name - FR]",TranslatemoduleName="[Name - ES]" ),"",TranslatemoduleName)</f>
        <v>RSSH: Procurement and supply chain management systems</v>
      </c>
      <c r="D22" s="62" t="s">
        <v>1167</v>
      </c>
      <c r="E22" s="54" t="str">
        <f t="shared" si="8"/>
        <v>RSSH: Procurement and supply chain management systems</v>
      </c>
      <c r="F22" s="53" t="s">
        <v>1168</v>
      </c>
      <c r="G22" s="53" t="s">
        <v>1169</v>
      </c>
      <c r="H22" s="119" t="s">
        <v>1140</v>
      </c>
      <c r="I22" s="120" t="str">
        <f>IFERROR(LOOKUP(2,1/(COUNTIF($I$9:I21,$C$11:$C$25)=0),$C$11:$C$25),IF($I$11=I21,"",IF(I21&lt;&gt;"",$I$11,"")))</f>
        <v>RSSH: Community responses and systems</v>
      </c>
      <c r="J22" s="119" t="str">
        <f t="shared" si="9"/>
        <v>MCI-00016</v>
      </c>
      <c r="K22" s="119" t="s">
        <v>110</v>
      </c>
    </row>
    <row r="23" spans="1:11" x14ac:dyDescent="0.35">
      <c r="A23" s="53" t="s">
        <v>157</v>
      </c>
      <c r="B23" s="54"/>
      <c r="C23" s="54" t="str">
        <f>IF(OR(TranslatemoduleName="[Name]",TranslatemoduleName="[Name - FR]",TranslatemoduleName="[Name - ES]" ),"",TranslatemoduleName)</f>
        <v>RSSH: Financial management systems</v>
      </c>
      <c r="D23" s="62" t="s">
        <v>1170</v>
      </c>
      <c r="E23" s="54" t="str">
        <f t="shared" si="8"/>
        <v>RSSH: Financial management systems</v>
      </c>
      <c r="F23" s="53" t="s">
        <v>1171</v>
      </c>
      <c r="G23" s="53" t="s">
        <v>1172</v>
      </c>
      <c r="H23" s="119" t="s">
        <v>1140</v>
      </c>
      <c r="I23" s="120" t="str">
        <f>IFERROR(LOOKUP(2,1/(COUNTIF($I$9:I22,$C$11:$C$25)=0),$C$11:$C$25),IF($I$11=I22,"",IF(I22&lt;&gt;"",$I$11,"")))</f>
        <v>COVID-19</v>
      </c>
      <c r="J23" s="119" t="str">
        <f t="shared" si="9"/>
        <v>MCI-00019</v>
      </c>
      <c r="K23" s="119" t="s">
        <v>110</v>
      </c>
    </row>
    <row r="24" spans="1:11" x14ac:dyDescent="0.35">
      <c r="A24" s="53" t="s">
        <v>159</v>
      </c>
      <c r="B24" s="54"/>
      <c r="C24" s="54" t="str">
        <f>IF(OR(TranslatemoduleName="[Name]",TranslatemoduleName="[Name - FR]",TranslatemoduleName="[Name - ES]" ),"",TranslatemoduleName)</f>
        <v>RSSH: National health strategies</v>
      </c>
      <c r="D24" s="62" t="s">
        <v>1173</v>
      </c>
      <c r="E24" s="54" t="str">
        <f t="shared" si="8"/>
        <v>RSSH: National health strategies</v>
      </c>
      <c r="F24" s="53" t="s">
        <v>1174</v>
      </c>
      <c r="G24" s="53" t="s">
        <v>1175</v>
      </c>
      <c r="H24" s="119" t="s">
        <v>1140</v>
      </c>
      <c r="I24" s="120" t="str">
        <f>IFERROR(LOOKUP(2,1/(COUNTIF($I$9:I23,$C$11:$C$25)=0),$C$11:$C$25),IF($I$11=I23,"",IF(I23&lt;&gt;"",$I$11,"")))</f>
        <v>RSSH: National health strategies</v>
      </c>
      <c r="J24" s="119" t="str">
        <f t="shared" si="9"/>
        <v>MCI-00536</v>
      </c>
      <c r="K24" s="119" t="s">
        <v>110</v>
      </c>
    </row>
    <row r="25" spans="1:11" s="49" customFormat="1" x14ac:dyDescent="0.35">
      <c r="A25" s="58"/>
      <c r="B25" s="59"/>
      <c r="C25" s="59"/>
      <c r="D25" s="62"/>
      <c r="E25" s="59"/>
      <c r="F25" s="58"/>
      <c r="G25" s="58"/>
      <c r="I25" s="61"/>
    </row>
    <row r="26" spans="1:11" s="49" customFormat="1" x14ac:dyDescent="0.35">
      <c r="A26" s="80" t="str">
        <f>IF(B3="",B4,B3)</f>
        <v>Kazakhstan</v>
      </c>
      <c r="B26" s="59"/>
      <c r="C26" s="59"/>
      <c r="D26" s="62"/>
      <c r="E26" s="59"/>
      <c r="F26" s="58"/>
      <c r="G26" s="58"/>
      <c r="I26" s="61"/>
    </row>
    <row r="27" spans="1:11" s="49" customFormat="1" x14ac:dyDescent="0.35">
      <c r="A27" s="58"/>
      <c r="B27" s="59"/>
      <c r="C27" s="59"/>
      <c r="D27" s="62"/>
      <c r="E27" s="59"/>
      <c r="F27" s="58"/>
      <c r="G27" s="58"/>
      <c r="I27" s="61"/>
    </row>
    <row r="28" spans="1:11" s="49" customFormat="1" x14ac:dyDescent="0.35">
      <c r="A28" s="58"/>
      <c r="B28" s="59"/>
      <c r="C28" s="59"/>
      <c r="D28" s="62"/>
      <c r="E28" s="59"/>
      <c r="F28" s="58"/>
      <c r="G28" s="58"/>
      <c r="I28" s="61"/>
    </row>
    <row r="29" spans="1:11" s="49" customFormat="1" x14ac:dyDescent="0.35">
      <c r="A29" s="58"/>
      <c r="B29" s="59"/>
      <c r="C29" s="59"/>
      <c r="D29" s="62"/>
      <c r="E29" s="59"/>
      <c r="F29" s="58"/>
      <c r="G29" s="58"/>
      <c r="I29" s="61"/>
    </row>
    <row r="30" spans="1:11" s="49" customFormat="1" x14ac:dyDescent="0.35">
      <c r="A30" s="58"/>
      <c r="B30" s="59"/>
      <c r="C30" s="59"/>
      <c r="D30" s="62"/>
      <c r="E30" s="59"/>
      <c r="F30" s="58"/>
      <c r="G30" s="58"/>
      <c r="I30" s="61"/>
    </row>
    <row r="31" spans="1:11" s="49" customFormat="1" x14ac:dyDescent="0.35">
      <c r="A31" s="58"/>
      <c r="B31" s="59"/>
      <c r="C31" s="59"/>
      <c r="D31" s="62"/>
      <c r="E31" s="59"/>
      <c r="F31" s="58"/>
      <c r="G31" s="58"/>
      <c r="I31" s="61"/>
    </row>
    <row r="32" spans="1:11" s="49" customFormat="1" x14ac:dyDescent="0.35">
      <c r="A32" s="58"/>
      <c r="B32" s="59"/>
      <c r="C32" s="59"/>
      <c r="D32" s="62"/>
      <c r="E32" s="59"/>
      <c r="F32" s="58"/>
      <c r="G32" s="58"/>
      <c r="I32" s="61"/>
    </row>
    <row r="33" spans="1:9" s="49" customFormat="1" x14ac:dyDescent="0.35">
      <c r="A33" s="58"/>
      <c r="B33" s="59"/>
      <c r="C33" s="59"/>
      <c r="D33" s="62"/>
      <c r="E33" s="59"/>
      <c r="F33" s="58"/>
      <c r="G33" s="58"/>
      <c r="I33" s="61"/>
    </row>
    <row r="34" spans="1:9" s="49" customFormat="1" x14ac:dyDescent="0.35">
      <c r="A34" s="58"/>
      <c r="B34" s="59"/>
      <c r="C34" s="59"/>
      <c r="D34" s="62"/>
      <c r="E34" s="59"/>
      <c r="F34" s="58"/>
      <c r="G34" s="58"/>
      <c r="I34" s="61"/>
    </row>
    <row r="35" spans="1:9" s="49" customFormat="1" x14ac:dyDescent="0.35">
      <c r="A35" s="58"/>
      <c r="B35" s="59"/>
      <c r="C35" s="59"/>
      <c r="D35" s="62"/>
      <c r="E35" s="59"/>
      <c r="F35" s="58"/>
      <c r="G35" s="58"/>
      <c r="I35" s="61"/>
    </row>
    <row r="36" spans="1:9" s="49" customFormat="1" x14ac:dyDescent="0.35">
      <c r="A36" s="58"/>
      <c r="B36" s="59"/>
      <c r="C36" s="59"/>
      <c r="D36" s="62"/>
      <c r="E36" s="59"/>
      <c r="F36" s="58"/>
      <c r="G36" s="58"/>
      <c r="I36" s="61"/>
    </row>
    <row r="37" spans="1:9" s="49" customFormat="1" x14ac:dyDescent="0.35">
      <c r="D37" s="63"/>
      <c r="I37" s="61"/>
    </row>
    <row r="38" spans="1:9" x14ac:dyDescent="0.35">
      <c r="I38" s="61"/>
    </row>
    <row r="39" spans="1:9" x14ac:dyDescent="0.35">
      <c r="I39" s="61"/>
    </row>
    <row r="40" spans="1:9" x14ac:dyDescent="0.35">
      <c r="I40" s="61"/>
    </row>
    <row r="41" spans="1:9" x14ac:dyDescent="0.35">
      <c r="I41" s="61"/>
    </row>
    <row r="42" spans="1:9" x14ac:dyDescent="0.35">
      <c r="I42" s="61"/>
    </row>
    <row r="43" spans="1:9" ht="84" customHeight="1" x14ac:dyDescent="0.35">
      <c r="A43" s="40"/>
      <c r="B43" s="40"/>
      <c r="C43" s="40"/>
      <c r="E43" s="43"/>
      <c r="I43" s="61"/>
    </row>
    <row r="44" spans="1:9" x14ac:dyDescent="0.35">
      <c r="I44" s="61"/>
    </row>
    <row r="45" spans="1:9" x14ac:dyDescent="0.35">
      <c r="I45" s="61"/>
    </row>
    <row r="46" spans="1:9" x14ac:dyDescent="0.35">
      <c r="I46" s="61"/>
    </row>
    <row r="47" spans="1:9" x14ac:dyDescent="0.35">
      <c r="I47" s="61"/>
    </row>
    <row r="48" spans="1:9" x14ac:dyDescent="0.35">
      <c r="I48" s="61"/>
    </row>
    <row r="49" spans="9:9" x14ac:dyDescent="0.35">
      <c r="I49" s="61"/>
    </row>
    <row r="50" spans="9:9" x14ac:dyDescent="0.35">
      <c r="I50" s="61"/>
    </row>
    <row r="51" spans="9:9" x14ac:dyDescent="0.35">
      <c r="I51" s="61"/>
    </row>
    <row r="52" spans="9:9" x14ac:dyDescent="0.35">
      <c r="I52" s="61"/>
    </row>
    <row r="53" spans="9:9" x14ac:dyDescent="0.35">
      <c r="I53" s="61"/>
    </row>
    <row r="54" spans="9:9" x14ac:dyDescent="0.35">
      <c r="I54" s="61"/>
    </row>
    <row r="55" spans="9:9" x14ac:dyDescent="0.35">
      <c r="I55" s="61"/>
    </row>
    <row r="56" spans="9:9" x14ac:dyDescent="0.35">
      <c r="I56" s="61"/>
    </row>
    <row r="57" spans="9:9" x14ac:dyDescent="0.35">
      <c r="I57" s="61"/>
    </row>
    <row r="58" spans="9:9" x14ac:dyDescent="0.35">
      <c r="I58" s="61"/>
    </row>
    <row r="59" spans="9:9" x14ac:dyDescent="0.35">
      <c r="I59" s="61"/>
    </row>
    <row r="60" spans="9:9" x14ac:dyDescent="0.35">
      <c r="I60" s="61"/>
    </row>
    <row r="61" spans="9:9" x14ac:dyDescent="0.35">
      <c r="I61" s="61"/>
    </row>
    <row r="62" spans="9:9" x14ac:dyDescent="0.35">
      <c r="I62" s="61"/>
    </row>
    <row r="63" spans="9:9" x14ac:dyDescent="0.35">
      <c r="I63" s="61"/>
    </row>
    <row r="64" spans="9:9" x14ac:dyDescent="0.35">
      <c r="I64" s="61"/>
    </row>
    <row r="65" spans="9:9" x14ac:dyDescent="0.35">
      <c r="I65" s="61"/>
    </row>
    <row r="66" spans="9:9" x14ac:dyDescent="0.35">
      <c r="I66" s="61"/>
    </row>
    <row r="67" spans="9:9" x14ac:dyDescent="0.35">
      <c r="I67" s="61"/>
    </row>
    <row r="68" spans="9:9" x14ac:dyDescent="0.35">
      <c r="I68" s="61"/>
    </row>
    <row r="69" spans="9:9" x14ac:dyDescent="0.35">
      <c r="I69" s="61"/>
    </row>
    <row r="70" spans="9:9" x14ac:dyDescent="0.35">
      <c r="I70" s="61"/>
    </row>
    <row r="71" spans="9:9" x14ac:dyDescent="0.35">
      <c r="I71" s="61"/>
    </row>
    <row r="72" spans="9:9" x14ac:dyDescent="0.35">
      <c r="I72" s="61"/>
    </row>
    <row r="73" spans="9:9" x14ac:dyDescent="0.35">
      <c r="I73" s="61"/>
    </row>
    <row r="74" spans="9:9" x14ac:dyDescent="0.35">
      <c r="I74" s="61"/>
    </row>
    <row r="75" spans="9:9" x14ac:dyDescent="0.35">
      <c r="I75" s="61"/>
    </row>
    <row r="76" spans="9:9" x14ac:dyDescent="0.35">
      <c r="I76" s="61"/>
    </row>
    <row r="77" spans="9:9" x14ac:dyDescent="0.35">
      <c r="I77" s="61"/>
    </row>
    <row r="78" spans="9:9" x14ac:dyDescent="0.35">
      <c r="I78" s="61"/>
    </row>
    <row r="79" spans="9:9" x14ac:dyDescent="0.35">
      <c r="I79" s="61"/>
    </row>
    <row r="80" spans="9:9" x14ac:dyDescent="0.35">
      <c r="I80" s="61"/>
    </row>
    <row r="81" spans="9:9" x14ac:dyDescent="0.35">
      <c r="I81" s="61"/>
    </row>
    <row r="82" spans="9:9" x14ac:dyDescent="0.35">
      <c r="I82" s="61"/>
    </row>
    <row r="83" spans="9:9" x14ac:dyDescent="0.35">
      <c r="I83" s="61"/>
    </row>
    <row r="84" spans="9:9" x14ac:dyDescent="0.35">
      <c r="I84" s="61"/>
    </row>
    <row r="85" spans="9:9" x14ac:dyDescent="0.35">
      <c r="I85" s="61"/>
    </row>
    <row r="86" spans="9:9" x14ac:dyDescent="0.35">
      <c r="I86" s="61"/>
    </row>
    <row r="87" spans="9:9" x14ac:dyDescent="0.35">
      <c r="I87" s="61"/>
    </row>
    <row r="88" spans="9:9" x14ac:dyDescent="0.35">
      <c r="I88" s="61"/>
    </row>
    <row r="89" spans="9:9" x14ac:dyDescent="0.35">
      <c r="I89" s="61"/>
    </row>
    <row r="90" spans="9:9" x14ac:dyDescent="0.35">
      <c r="I90" s="61"/>
    </row>
    <row r="91" spans="9:9" x14ac:dyDescent="0.35">
      <c r="I91" s="61"/>
    </row>
    <row r="92" spans="9:9" x14ac:dyDescent="0.35">
      <c r="I92" s="61"/>
    </row>
    <row r="93" spans="9:9" x14ac:dyDescent="0.35">
      <c r="I93" s="61"/>
    </row>
    <row r="94" spans="9:9" x14ac:dyDescent="0.35">
      <c r="I94" s="61"/>
    </row>
    <row r="95" spans="9:9" x14ac:dyDescent="0.35">
      <c r="I95" s="61"/>
    </row>
    <row r="96" spans="9:9" x14ac:dyDescent="0.35">
      <c r="I96" s="61"/>
    </row>
    <row r="97" spans="9:9" x14ac:dyDescent="0.35">
      <c r="I97" s="61"/>
    </row>
    <row r="98" spans="9:9" x14ac:dyDescent="0.35">
      <c r="I98" s="61"/>
    </row>
    <row r="99" spans="9:9" x14ac:dyDescent="0.35">
      <c r="I99" s="61"/>
    </row>
    <row r="100" spans="9:9" x14ac:dyDescent="0.35">
      <c r="I100" s="61"/>
    </row>
    <row r="101" spans="9:9" x14ac:dyDescent="0.35">
      <c r="I101" s="61"/>
    </row>
    <row r="102" spans="9:9" x14ac:dyDescent="0.35">
      <c r="I102" s="61"/>
    </row>
    <row r="103" spans="9:9" x14ac:dyDescent="0.35">
      <c r="I103" s="61"/>
    </row>
    <row r="104" spans="9:9" x14ac:dyDescent="0.35">
      <c r="I104" s="61"/>
    </row>
    <row r="105" spans="9:9" x14ac:dyDescent="0.35">
      <c r="I105" s="61"/>
    </row>
    <row r="106" spans="9:9" x14ac:dyDescent="0.35">
      <c r="I106" s="61"/>
    </row>
    <row r="107" spans="9:9" x14ac:dyDescent="0.35">
      <c r="I107" s="61"/>
    </row>
    <row r="108" spans="9:9" x14ac:dyDescent="0.35">
      <c r="I108" s="61"/>
    </row>
    <row r="109" spans="9:9" x14ac:dyDescent="0.35">
      <c r="I109" s="61"/>
    </row>
    <row r="110" spans="9:9" x14ac:dyDescent="0.35">
      <c r="I110" s="61"/>
    </row>
    <row r="111" spans="9:9" x14ac:dyDescent="0.35">
      <c r="I111" s="61"/>
    </row>
    <row r="112" spans="9:9" x14ac:dyDescent="0.35">
      <c r="I112" s="61"/>
    </row>
    <row r="113" spans="9:9" x14ac:dyDescent="0.35">
      <c r="I113" s="61"/>
    </row>
    <row r="114" spans="9:9" x14ac:dyDescent="0.35">
      <c r="I114" s="61"/>
    </row>
    <row r="115" spans="9:9" x14ac:dyDescent="0.35">
      <c r="I115" s="61"/>
    </row>
    <row r="116" spans="9:9" x14ac:dyDescent="0.35">
      <c r="I116" s="61"/>
    </row>
    <row r="117" spans="9:9" x14ac:dyDescent="0.35">
      <c r="I117" s="61"/>
    </row>
    <row r="118" spans="9:9" x14ac:dyDescent="0.35">
      <c r="I118" s="61"/>
    </row>
    <row r="119" spans="9:9" x14ac:dyDescent="0.35">
      <c r="I119" s="61"/>
    </row>
    <row r="120" spans="9:9" x14ac:dyDescent="0.35">
      <c r="I120" s="61"/>
    </row>
    <row r="121" spans="9:9" x14ac:dyDescent="0.35">
      <c r="I121" s="61"/>
    </row>
    <row r="122" spans="9:9" x14ac:dyDescent="0.35">
      <c r="I122" s="61"/>
    </row>
    <row r="123" spans="9:9" x14ac:dyDescent="0.35">
      <c r="I123" s="61"/>
    </row>
    <row r="124" spans="9:9" x14ac:dyDescent="0.35">
      <c r="I124" s="61"/>
    </row>
    <row r="125" spans="9:9" x14ac:dyDescent="0.35">
      <c r="I125" s="61"/>
    </row>
    <row r="126" spans="9:9" x14ac:dyDescent="0.35">
      <c r="I126" s="61"/>
    </row>
    <row r="127" spans="9:9" x14ac:dyDescent="0.35">
      <c r="I127" s="61"/>
    </row>
    <row r="128" spans="9:9" x14ac:dyDescent="0.35">
      <c r="I128" s="61"/>
    </row>
    <row r="129" spans="9:9" x14ac:dyDescent="0.35">
      <c r="I129" s="61"/>
    </row>
    <row r="130" spans="9:9" x14ac:dyDescent="0.35">
      <c r="I130" s="61"/>
    </row>
    <row r="131" spans="9:9" x14ac:dyDescent="0.35">
      <c r="I131" s="61"/>
    </row>
    <row r="132" spans="9:9" x14ac:dyDescent="0.35">
      <c r="I132" s="61"/>
    </row>
    <row r="133" spans="9:9" x14ac:dyDescent="0.35">
      <c r="I133" s="61"/>
    </row>
    <row r="134" spans="9:9" x14ac:dyDescent="0.35">
      <c r="I134" s="61"/>
    </row>
    <row r="135" spans="9:9" x14ac:dyDescent="0.35">
      <c r="I135" s="61"/>
    </row>
    <row r="136" spans="9:9" x14ac:dyDescent="0.35">
      <c r="I136" s="61"/>
    </row>
    <row r="137" spans="9:9" x14ac:dyDescent="0.35">
      <c r="I137" s="61"/>
    </row>
    <row r="138" spans="9:9" x14ac:dyDescent="0.35">
      <c r="I138" s="61"/>
    </row>
    <row r="139" spans="9:9" x14ac:dyDescent="0.35">
      <c r="I139" s="61"/>
    </row>
    <row r="140" spans="9:9" x14ac:dyDescent="0.35">
      <c r="I140" s="61"/>
    </row>
    <row r="141" spans="9:9" x14ac:dyDescent="0.35">
      <c r="I141" s="61"/>
    </row>
    <row r="142" spans="9:9" x14ac:dyDescent="0.35">
      <c r="I142" s="61"/>
    </row>
    <row r="143" spans="9:9" x14ac:dyDescent="0.35">
      <c r="I143" s="61"/>
    </row>
    <row r="144" spans="9:9" x14ac:dyDescent="0.35">
      <c r="I144" s="61"/>
    </row>
    <row r="145" spans="9:9" x14ac:dyDescent="0.35">
      <c r="I145" s="61"/>
    </row>
    <row r="146" spans="9:9" x14ac:dyDescent="0.35">
      <c r="I146" s="61"/>
    </row>
    <row r="147" spans="9:9" x14ac:dyDescent="0.35">
      <c r="I147" s="61"/>
    </row>
    <row r="148" spans="9:9" x14ac:dyDescent="0.35">
      <c r="I148" s="61"/>
    </row>
    <row r="149" spans="9:9" x14ac:dyDescent="0.35">
      <c r="I149" s="61"/>
    </row>
    <row r="150" spans="9:9" x14ac:dyDescent="0.35">
      <c r="I150" s="61"/>
    </row>
    <row r="151" spans="9:9" x14ac:dyDescent="0.35">
      <c r="I151" s="61"/>
    </row>
    <row r="152" spans="9:9" x14ac:dyDescent="0.35">
      <c r="I152" s="61"/>
    </row>
    <row r="153" spans="9:9" x14ac:dyDescent="0.35">
      <c r="I153" s="61"/>
    </row>
    <row r="154" spans="9:9" x14ac:dyDescent="0.35">
      <c r="I154" s="61"/>
    </row>
    <row r="155" spans="9:9" x14ac:dyDescent="0.35">
      <c r="I155" s="61"/>
    </row>
    <row r="156" spans="9:9" x14ac:dyDescent="0.35">
      <c r="I156" s="61"/>
    </row>
    <row r="157" spans="9:9" x14ac:dyDescent="0.35">
      <c r="I157" s="61"/>
    </row>
    <row r="158" spans="9:9" x14ac:dyDescent="0.35">
      <c r="I158" s="61"/>
    </row>
    <row r="159" spans="9:9" x14ac:dyDescent="0.35">
      <c r="I159" s="61"/>
    </row>
    <row r="160" spans="9:9" x14ac:dyDescent="0.35">
      <c r="I160" s="61"/>
    </row>
    <row r="161" spans="9:9" x14ac:dyDescent="0.35">
      <c r="I161" s="61"/>
    </row>
    <row r="162" spans="9:9" x14ac:dyDescent="0.35">
      <c r="I162" s="61"/>
    </row>
    <row r="163" spans="9:9" x14ac:dyDescent="0.35">
      <c r="I163" s="61"/>
    </row>
    <row r="164" spans="9:9" x14ac:dyDescent="0.35">
      <c r="I164" s="61"/>
    </row>
    <row r="165" spans="9:9" x14ac:dyDescent="0.35">
      <c r="I165" s="61"/>
    </row>
    <row r="166" spans="9:9" x14ac:dyDescent="0.35">
      <c r="I166" s="61"/>
    </row>
    <row r="167" spans="9:9" x14ac:dyDescent="0.35">
      <c r="I167" s="61"/>
    </row>
    <row r="168" spans="9:9" x14ac:dyDescent="0.35">
      <c r="I168" s="61"/>
    </row>
    <row r="169" spans="9:9" x14ac:dyDescent="0.35">
      <c r="I169" s="61"/>
    </row>
    <row r="170" spans="9:9" x14ac:dyDescent="0.35">
      <c r="I170" s="61"/>
    </row>
    <row r="171" spans="9:9" x14ac:dyDescent="0.35">
      <c r="I171" s="61"/>
    </row>
    <row r="172" spans="9:9" x14ac:dyDescent="0.35">
      <c r="I172" s="61"/>
    </row>
    <row r="173" spans="9:9" x14ac:dyDescent="0.35">
      <c r="I173" s="61"/>
    </row>
    <row r="174" spans="9:9" x14ac:dyDescent="0.35">
      <c r="I174" s="61"/>
    </row>
    <row r="175" spans="9:9" x14ac:dyDescent="0.35">
      <c r="I175" s="61"/>
    </row>
    <row r="176" spans="9:9" x14ac:dyDescent="0.35">
      <c r="I176" s="61"/>
    </row>
    <row r="177" spans="9:9" x14ac:dyDescent="0.35">
      <c r="I177" s="61"/>
    </row>
    <row r="178" spans="9:9" x14ac:dyDescent="0.35">
      <c r="I178" s="61"/>
    </row>
    <row r="179" spans="9:9" x14ac:dyDescent="0.35">
      <c r="I179" s="61"/>
    </row>
    <row r="180" spans="9:9" x14ac:dyDescent="0.35">
      <c r="I180" s="61"/>
    </row>
    <row r="181" spans="9:9" x14ac:dyDescent="0.35">
      <c r="I181" s="61"/>
    </row>
    <row r="182" spans="9:9" x14ac:dyDescent="0.35">
      <c r="I182" s="61"/>
    </row>
    <row r="183" spans="9:9" x14ac:dyDescent="0.35">
      <c r="I183" s="61"/>
    </row>
    <row r="184" spans="9:9" x14ac:dyDescent="0.35">
      <c r="I184" s="61"/>
    </row>
    <row r="185" spans="9:9" x14ac:dyDescent="0.35">
      <c r="I185" s="61"/>
    </row>
    <row r="186" spans="9:9" x14ac:dyDescent="0.35">
      <c r="I186" s="61"/>
    </row>
    <row r="187" spans="9:9" x14ac:dyDescent="0.35">
      <c r="I187" s="61"/>
    </row>
    <row r="188" spans="9:9" x14ac:dyDescent="0.35">
      <c r="I188" s="61"/>
    </row>
    <row r="189" spans="9:9" x14ac:dyDescent="0.35">
      <c r="I189" s="61"/>
    </row>
    <row r="190" spans="9:9" x14ac:dyDescent="0.35">
      <c r="I190" s="61"/>
    </row>
    <row r="191" spans="9:9" x14ac:dyDescent="0.35">
      <c r="I191" s="61"/>
    </row>
    <row r="192" spans="9:9" x14ac:dyDescent="0.35">
      <c r="I192" s="61"/>
    </row>
    <row r="193" spans="9:9" x14ac:dyDescent="0.35">
      <c r="I193" s="61"/>
    </row>
    <row r="194" spans="9:9" x14ac:dyDescent="0.35">
      <c r="I194" s="61"/>
    </row>
    <row r="195" spans="9:9" x14ac:dyDescent="0.35">
      <c r="I195" s="61"/>
    </row>
    <row r="196" spans="9:9" x14ac:dyDescent="0.35">
      <c r="I196" s="61"/>
    </row>
    <row r="197" spans="9:9" x14ac:dyDescent="0.35">
      <c r="I197" s="61"/>
    </row>
    <row r="198" spans="9:9" x14ac:dyDescent="0.35">
      <c r="I198" s="61"/>
    </row>
    <row r="199" spans="9:9" x14ac:dyDescent="0.35">
      <c r="I199" s="61"/>
    </row>
    <row r="200" spans="9:9" x14ac:dyDescent="0.35">
      <c r="I200" s="61"/>
    </row>
    <row r="201" spans="9:9" x14ac:dyDescent="0.35">
      <c r="I201" s="61"/>
    </row>
    <row r="202" spans="9:9" x14ac:dyDescent="0.35">
      <c r="I202" s="61"/>
    </row>
    <row r="203" spans="9:9" x14ac:dyDescent="0.35">
      <c r="I203" s="61"/>
    </row>
    <row r="204" spans="9:9" x14ac:dyDescent="0.35">
      <c r="I204" s="61"/>
    </row>
    <row r="205" spans="9:9" x14ac:dyDescent="0.35">
      <c r="I205" s="61"/>
    </row>
    <row r="206" spans="9:9" x14ac:dyDescent="0.35">
      <c r="I206" s="61"/>
    </row>
    <row r="207" spans="9:9" x14ac:dyDescent="0.35">
      <c r="I207" s="61"/>
    </row>
    <row r="208" spans="9:9" x14ac:dyDescent="0.35">
      <c r="I208" s="61"/>
    </row>
    <row r="209" spans="9:9" x14ac:dyDescent="0.35">
      <c r="I209" s="61"/>
    </row>
    <row r="210" spans="9:9" x14ac:dyDescent="0.35">
      <c r="I210" s="61"/>
    </row>
    <row r="211" spans="9:9" x14ac:dyDescent="0.35">
      <c r="I211" s="61"/>
    </row>
    <row r="212" spans="9:9" x14ac:dyDescent="0.35">
      <c r="I212" s="61"/>
    </row>
    <row r="213" spans="9:9" x14ac:dyDescent="0.35">
      <c r="I213" s="61"/>
    </row>
    <row r="214" spans="9:9" x14ac:dyDescent="0.35">
      <c r="I214" s="61"/>
    </row>
    <row r="215" spans="9:9" x14ac:dyDescent="0.35">
      <c r="I215" s="61"/>
    </row>
    <row r="216" spans="9:9" x14ac:dyDescent="0.35">
      <c r="I216" s="61"/>
    </row>
    <row r="217" spans="9:9" x14ac:dyDescent="0.35">
      <c r="I217" s="61"/>
    </row>
    <row r="218" spans="9:9" x14ac:dyDescent="0.35">
      <c r="I218" s="61"/>
    </row>
    <row r="219" spans="9:9" x14ac:dyDescent="0.35">
      <c r="I219" s="61"/>
    </row>
    <row r="220" spans="9:9" x14ac:dyDescent="0.35">
      <c r="I220" s="61"/>
    </row>
    <row r="221" spans="9:9" x14ac:dyDescent="0.35">
      <c r="I221" s="61"/>
    </row>
    <row r="222" spans="9:9" x14ac:dyDescent="0.35">
      <c r="I222" s="61"/>
    </row>
    <row r="223" spans="9:9" x14ac:dyDescent="0.35">
      <c r="I223" s="61"/>
    </row>
    <row r="224" spans="9:9" x14ac:dyDescent="0.35">
      <c r="I224" s="61"/>
    </row>
    <row r="225" spans="9:9" x14ac:dyDescent="0.35">
      <c r="I225" s="61"/>
    </row>
    <row r="226" spans="9:9" x14ac:dyDescent="0.35">
      <c r="I226" s="61"/>
    </row>
    <row r="227" spans="9:9" x14ac:dyDescent="0.35">
      <c r="I227" s="61"/>
    </row>
    <row r="228" spans="9:9" x14ac:dyDescent="0.35">
      <c r="I228" s="61"/>
    </row>
    <row r="229" spans="9:9" x14ac:dyDescent="0.35">
      <c r="I229" s="61"/>
    </row>
    <row r="230" spans="9:9" x14ac:dyDescent="0.35">
      <c r="I230" s="61"/>
    </row>
    <row r="231" spans="9:9" x14ac:dyDescent="0.35">
      <c r="I231" s="61"/>
    </row>
    <row r="232" spans="9:9" x14ac:dyDescent="0.35">
      <c r="I232" s="61"/>
    </row>
    <row r="233" spans="9:9" x14ac:dyDescent="0.35">
      <c r="I233" s="61"/>
    </row>
    <row r="234" spans="9:9" x14ac:dyDescent="0.35">
      <c r="I234" s="61"/>
    </row>
    <row r="235" spans="9:9" x14ac:dyDescent="0.35">
      <c r="I235" s="61"/>
    </row>
    <row r="236" spans="9:9" x14ac:dyDescent="0.35">
      <c r="I236" s="61"/>
    </row>
    <row r="237" spans="9:9" x14ac:dyDescent="0.35">
      <c r="I237" s="61"/>
    </row>
    <row r="238" spans="9:9" x14ac:dyDescent="0.35">
      <c r="I238" s="61"/>
    </row>
    <row r="239" spans="9:9" x14ac:dyDescent="0.35">
      <c r="I239" s="61"/>
    </row>
    <row r="240" spans="9:9" x14ac:dyDescent="0.35">
      <c r="I240" s="61"/>
    </row>
    <row r="241" spans="9:9" x14ac:dyDescent="0.35">
      <c r="I241" s="61"/>
    </row>
    <row r="242" spans="9:9" x14ac:dyDescent="0.35">
      <c r="I242" s="61"/>
    </row>
    <row r="243" spans="9:9" x14ac:dyDescent="0.35">
      <c r="I243" s="61"/>
    </row>
    <row r="244" spans="9:9" x14ac:dyDescent="0.35">
      <c r="I244" s="61"/>
    </row>
    <row r="245" spans="9:9" x14ac:dyDescent="0.35">
      <c r="I245" s="61"/>
    </row>
    <row r="246" spans="9:9" x14ac:dyDescent="0.35">
      <c r="I246" s="61"/>
    </row>
    <row r="247" spans="9:9" x14ac:dyDescent="0.35">
      <c r="I247" s="61"/>
    </row>
    <row r="248" spans="9:9" x14ac:dyDescent="0.35">
      <c r="I248" s="61"/>
    </row>
    <row r="249" spans="9:9" x14ac:dyDescent="0.35">
      <c r="I249" s="61"/>
    </row>
    <row r="250" spans="9:9" x14ac:dyDescent="0.35">
      <c r="I250" s="61"/>
    </row>
    <row r="251" spans="9:9" x14ac:dyDescent="0.35">
      <c r="I251" s="61"/>
    </row>
    <row r="252" spans="9:9" x14ac:dyDescent="0.35">
      <c r="I252" s="61"/>
    </row>
    <row r="253" spans="9:9" x14ac:dyDescent="0.35">
      <c r="I253" s="61"/>
    </row>
    <row r="254" spans="9:9" x14ac:dyDescent="0.35">
      <c r="I254" s="61"/>
    </row>
    <row r="255" spans="9:9" x14ac:dyDescent="0.35">
      <c r="I255" s="61"/>
    </row>
    <row r="256" spans="9:9" x14ac:dyDescent="0.35">
      <c r="I256" s="61"/>
    </row>
    <row r="257" spans="9:9" x14ac:dyDescent="0.35">
      <c r="I257" s="61"/>
    </row>
    <row r="258" spans="9:9" x14ac:dyDescent="0.35">
      <c r="I258" s="61"/>
    </row>
    <row r="259" spans="9:9" x14ac:dyDescent="0.35">
      <c r="I259" s="61"/>
    </row>
    <row r="260" spans="9:9" x14ac:dyDescent="0.35">
      <c r="I260" s="61"/>
    </row>
    <row r="261" spans="9:9" x14ac:dyDescent="0.35">
      <c r="I261" s="61"/>
    </row>
    <row r="262" spans="9:9" x14ac:dyDescent="0.35">
      <c r="I262" s="61"/>
    </row>
    <row r="263" spans="9:9" x14ac:dyDescent="0.35">
      <c r="I263" s="61"/>
    </row>
    <row r="264" spans="9:9" x14ac:dyDescent="0.35">
      <c r="I264" s="61"/>
    </row>
    <row r="265" spans="9:9" x14ac:dyDescent="0.35">
      <c r="I265" s="61"/>
    </row>
    <row r="266" spans="9:9" x14ac:dyDescent="0.35">
      <c r="I266" s="61"/>
    </row>
    <row r="267" spans="9:9" x14ac:dyDescent="0.35">
      <c r="I267" s="61"/>
    </row>
    <row r="268" spans="9:9" x14ac:dyDescent="0.35">
      <c r="I268" s="61"/>
    </row>
    <row r="269" spans="9:9" x14ac:dyDescent="0.35">
      <c r="I269" s="61"/>
    </row>
    <row r="270" spans="9:9" x14ac:dyDescent="0.35">
      <c r="I270" s="61"/>
    </row>
    <row r="271" spans="9:9" x14ac:dyDescent="0.35">
      <c r="I271" s="61"/>
    </row>
    <row r="272" spans="9:9" x14ac:dyDescent="0.35">
      <c r="I272" s="61"/>
    </row>
    <row r="273" spans="9:9" x14ac:dyDescent="0.35">
      <c r="I273" s="61"/>
    </row>
    <row r="274" spans="9:9" x14ac:dyDescent="0.35">
      <c r="I274" s="61"/>
    </row>
    <row r="275" spans="9:9" x14ac:dyDescent="0.35">
      <c r="I275" s="61"/>
    </row>
    <row r="276" spans="9:9" x14ac:dyDescent="0.35">
      <c r="I276" s="61"/>
    </row>
    <row r="277" spans="9:9" x14ac:dyDescent="0.35">
      <c r="I277" s="61"/>
    </row>
    <row r="278" spans="9:9" x14ac:dyDescent="0.35">
      <c r="I278" s="61"/>
    </row>
    <row r="279" spans="9:9" x14ac:dyDescent="0.35">
      <c r="I279" s="61"/>
    </row>
    <row r="280" spans="9:9" x14ac:dyDescent="0.35">
      <c r="I280" s="61"/>
    </row>
    <row r="281" spans="9:9" x14ac:dyDescent="0.35">
      <c r="I281" s="61"/>
    </row>
    <row r="282" spans="9:9" x14ac:dyDescent="0.35">
      <c r="I282" s="61"/>
    </row>
    <row r="283" spans="9:9" x14ac:dyDescent="0.35">
      <c r="I283" s="61"/>
    </row>
    <row r="284" spans="9:9" x14ac:dyDescent="0.35">
      <c r="I284" s="61"/>
    </row>
    <row r="285" spans="9:9" x14ac:dyDescent="0.35">
      <c r="I285" s="61"/>
    </row>
    <row r="286" spans="9:9" x14ac:dyDescent="0.35">
      <c r="I286" s="61"/>
    </row>
    <row r="287" spans="9:9" x14ac:dyDescent="0.35">
      <c r="I287" s="61"/>
    </row>
    <row r="288" spans="9:9" x14ac:dyDescent="0.35">
      <c r="I288" s="61"/>
    </row>
    <row r="289" spans="9:9" x14ac:dyDescent="0.35">
      <c r="I289" s="61"/>
    </row>
    <row r="290" spans="9:9" x14ac:dyDescent="0.35">
      <c r="I290" s="61"/>
    </row>
    <row r="291" spans="9:9" x14ac:dyDescent="0.35">
      <c r="I291" s="61"/>
    </row>
    <row r="292" spans="9:9" x14ac:dyDescent="0.35">
      <c r="I292" s="61"/>
    </row>
    <row r="293" spans="9:9" x14ac:dyDescent="0.35">
      <c r="I293" s="61"/>
    </row>
    <row r="294" spans="9:9" x14ac:dyDescent="0.35">
      <c r="I294" s="61"/>
    </row>
    <row r="295" spans="9:9" x14ac:dyDescent="0.35">
      <c r="I295" s="61"/>
    </row>
    <row r="296" spans="9:9" x14ac:dyDescent="0.35">
      <c r="I296" s="61"/>
    </row>
    <row r="297" spans="9:9" x14ac:dyDescent="0.35">
      <c r="I297" s="61"/>
    </row>
    <row r="298" spans="9:9" x14ac:dyDescent="0.35">
      <c r="I298" s="61"/>
    </row>
    <row r="299" spans="9:9" x14ac:dyDescent="0.35">
      <c r="I299" s="61"/>
    </row>
    <row r="300" spans="9:9" x14ac:dyDescent="0.35">
      <c r="I300" s="61"/>
    </row>
    <row r="301" spans="9:9" x14ac:dyDescent="0.35">
      <c r="I301" s="61"/>
    </row>
    <row r="302" spans="9:9" x14ac:dyDescent="0.35">
      <c r="I302" s="61"/>
    </row>
    <row r="303" spans="9:9" x14ac:dyDescent="0.35">
      <c r="I303" s="61"/>
    </row>
    <row r="304" spans="9:9" x14ac:dyDescent="0.35">
      <c r="I304" s="61"/>
    </row>
    <row r="305" spans="9:9" x14ac:dyDescent="0.35">
      <c r="I305" s="61"/>
    </row>
    <row r="306" spans="9:9" x14ac:dyDescent="0.35">
      <c r="I306" s="61"/>
    </row>
    <row r="307" spans="9:9" x14ac:dyDescent="0.35">
      <c r="I307" s="61"/>
    </row>
    <row r="308" spans="9:9" x14ac:dyDescent="0.35">
      <c r="I308" s="61"/>
    </row>
    <row r="309" spans="9:9" x14ac:dyDescent="0.35">
      <c r="I309" s="61"/>
    </row>
    <row r="310" spans="9:9" x14ac:dyDescent="0.35">
      <c r="I310" s="61"/>
    </row>
    <row r="311" spans="9:9" x14ac:dyDescent="0.35">
      <c r="I311" s="61"/>
    </row>
    <row r="312" spans="9:9" x14ac:dyDescent="0.35">
      <c r="I312" s="61"/>
    </row>
  </sheetData>
  <dataValidations disablePrompts="1" count="3">
    <dataValidation type="custom" allowBlank="1" showInputMessage="1" showErrorMessage="1" errorTitle="X-Author for Excel" error="Id and Lookup fields are not editable." promptTitle="X-Author for Excel" sqref="D11:D36 H11:H24 D8 D5:D6 B6 B2">
      <formula1>""</formula1>
    </dataValidation>
    <dataValidation type="list" allowBlank="1" showInputMessage="1" showErrorMessage="1" errorTitle="X-Author for Excel" error="Please select a value from the drop-down." promptTitle="X-Author for Excel" sqref="D4">
      <formula1>IF(IFERROR(ROWS(INDIRECT(SUBSTITUTE("AIM_Funding_Request__c.AIM_Funding_Request_Currency__c"," ","_"))),-1) &lt; 0, XAuthorInvalidPicklistData,INDIRECT(SUBSTITUTE("AIM_Funding_Request__c.AIM_Funding_Request_Currency__c"," ","_")))</formula1>
    </dataValidation>
    <dataValidation type="list" allowBlank="1" showInputMessage="1" showErrorMessage="1" errorTitle="X-Author for Excel" error="Please select a value from the drop-down." promptTitle="X-Author for Excel" sqref="F8">
      <formula1>IF(IFERROR(ROWS(INDIRECT(SUBSTITUTE("AIM_Funding_Request__c.AIM_TRP_Review_Outcome__c"," ","_"))),-1) &lt; 0, XAuthorInvalidPicklistData,INDIRECT(SUBSTITUTE("AIM_Funding_Request__c.AIM_TRP_Review_Outcome__c"," ","_")))</formula1>
    </dataValidation>
  </dataValidation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1:N446"/>
  <sheetViews>
    <sheetView workbookViewId="0">
      <selection activeCell="G6" sqref="G6"/>
    </sheetView>
  </sheetViews>
  <sheetFormatPr defaultRowHeight="14.5" x14ac:dyDescent="0.35"/>
  <cols>
    <col min="3" max="3" width="13.90625" customWidth="1"/>
  </cols>
  <sheetData>
    <row r="11" spans="2:14" ht="26.5" x14ac:dyDescent="0.35">
      <c r="B11" s="52" t="s">
        <v>765</v>
      </c>
      <c r="C11" s="52" t="s">
        <v>781</v>
      </c>
      <c r="D11" s="52"/>
      <c r="E11" s="52" t="s">
        <v>765</v>
      </c>
      <c r="F11" s="55" t="s">
        <v>783</v>
      </c>
      <c r="G11" s="55" t="s">
        <v>766</v>
      </c>
      <c r="H11" s="52"/>
      <c r="I11" s="52" t="s">
        <v>768</v>
      </c>
      <c r="J11" s="52" t="s">
        <v>784</v>
      </c>
      <c r="K11" s="52" t="s">
        <v>796</v>
      </c>
      <c r="L11" s="119"/>
      <c r="M11" s="119">
        <f>IFERROR(LOOKUP(2,1/(COUNTIF($M$10:M10,$E$12:$E$78)=0),$E$12:$E$78),IF($M$12=M10,"",IF(M10&lt;&gt;"",$M$12,"")))</f>
        <v>0</v>
      </c>
      <c r="N11" s="119" t="s">
        <v>873</v>
      </c>
    </row>
    <row r="12" spans="2:14" hidden="1" x14ac:dyDescent="0.35">
      <c r="B12" s="56" t="s">
        <v>776</v>
      </c>
      <c r="C12" s="54" t="s">
        <v>780</v>
      </c>
      <c r="D12" s="53"/>
      <c r="E12" s="119" t="str">
        <f>IF(OR(TranslatemoduleName="[Name - FR]",TranslatemoduleName="[Name - ES]"),"",IF(InterventionsTranslate="[Name]","",InterventionsTranslate))</f>
        <v/>
      </c>
      <c r="F12" s="53" t="s">
        <v>782</v>
      </c>
      <c r="G12" s="54" t="s">
        <v>775</v>
      </c>
      <c r="H12" s="53"/>
      <c r="I12" s="53" t="s">
        <v>777</v>
      </c>
      <c r="J12" s="53" t="s">
        <v>778</v>
      </c>
      <c r="K12" s="56" t="s">
        <v>795</v>
      </c>
      <c r="L12" s="119" t="str">
        <f>F12</f>
        <v>[Name ID]</v>
      </c>
      <c r="M12" s="119" t="str">
        <f>IFERROR(LOOKUP(2,1/(COUNTIF($M$10:M11,$E$12:$E$78)=0),$E$12:$E$78),IF($M$12=M11,"",IF(M11&lt;&gt;"",$M$12,"")))</f>
        <v>COVID-19 control and containment including health systems strengthening</v>
      </c>
      <c r="N12" s="119" t="s">
        <v>872</v>
      </c>
    </row>
    <row r="13" spans="2:14" x14ac:dyDescent="0.35">
      <c r="B13" s="56" t="s">
        <v>1176</v>
      </c>
      <c r="C13" s="54" t="s">
        <v>1156</v>
      </c>
      <c r="D13" s="53"/>
      <c r="E13" s="119" t="str">
        <f>IF(OR(TranslatemoduleName="[Name - FR]",TranslatemoduleName="[Name - ES]"),"",IF(InterventionsTranslate="[Name]","",InterventionsTranslate))</f>
        <v>Key populations (TB care and prevention) - Prisoners</v>
      </c>
      <c r="F13" s="53" t="s">
        <v>1177</v>
      </c>
      <c r="G13" s="54" t="s">
        <v>1178</v>
      </c>
      <c r="H13" s="53"/>
      <c r="I13" s="53" t="s">
        <v>1179</v>
      </c>
      <c r="J13" s="53" t="s">
        <v>608</v>
      </c>
      <c r="K13" s="56" t="s">
        <v>1180</v>
      </c>
      <c r="L13" s="119" t="str">
        <f t="shared" ref="L13:L76" si="0">F13</f>
        <v>MCI-00590</v>
      </c>
      <c r="M13" s="119" t="str">
        <f>IFERROR(LOOKUP(2,1/(COUNTIF($M$10:M12,$E$12:$E$78)=0),$E$12:$E$78),IF($M$12=M12,"",IF(M12&lt;&gt;"",$M$12,"")))</f>
        <v>Risk mitigation for disease programs</v>
      </c>
      <c r="N13" s="119" t="b">
        <v>0</v>
      </c>
    </row>
    <row r="14" spans="2:14" x14ac:dyDescent="0.35">
      <c r="B14" s="56" t="s">
        <v>1181</v>
      </c>
      <c r="C14" s="54" t="s">
        <v>1156</v>
      </c>
      <c r="D14" s="53"/>
      <c r="E14" s="119" t="str">
        <f>IF(OR(TranslatemoduleName="[Name - FR]",TranslatemoduleName="[Name - ES]"),"",IF(InterventionsTranslate="[Name]","",InterventionsTranslate))</f>
        <v>Removing human rights and gender related barriers to TB care and prevention</v>
      </c>
      <c r="F14" s="53" t="s">
        <v>1182</v>
      </c>
      <c r="G14" s="54" t="s">
        <v>1178</v>
      </c>
      <c r="H14" s="53"/>
      <c r="I14" s="53" t="s">
        <v>616</v>
      </c>
      <c r="J14" s="53" t="s">
        <v>617</v>
      </c>
      <c r="K14" s="56" t="s">
        <v>1183</v>
      </c>
      <c r="L14" s="119" t="str">
        <f t="shared" si="0"/>
        <v>MCI-00591</v>
      </c>
      <c r="M14" s="119" t="str">
        <f>IFERROR(LOOKUP(2,1/(COUNTIF($M$10:M13,$E$12:$E$78)=0),$E$12:$E$78),IF($M$12=M13,"",IF(M13&lt;&gt;"",$M$12,"")))</f>
        <v>Other policy and governance intervention(s)</v>
      </c>
      <c r="N14" s="119" t="b">
        <v>0</v>
      </c>
    </row>
    <row r="15" spans="2:14" x14ac:dyDescent="0.35">
      <c r="B15" s="56" t="s">
        <v>426</v>
      </c>
      <c r="C15" s="54" t="s">
        <v>1156</v>
      </c>
      <c r="D15" s="53"/>
      <c r="E15" s="119" t="str">
        <f>IF(OR(TranslatemoduleName="[Name - FR]",TranslatemoduleName="[Name - ES]"),"",IF(InterventionsTranslate="[Name]","",InterventionsTranslate))</f>
        <v>Case detection and diagnosis</v>
      </c>
      <c r="F15" s="53" t="s">
        <v>1184</v>
      </c>
      <c r="G15" s="54" t="s">
        <v>1178</v>
      </c>
      <c r="H15" s="53"/>
      <c r="I15" s="53" t="s">
        <v>1185</v>
      </c>
      <c r="J15" s="53" t="s">
        <v>593</v>
      </c>
      <c r="K15" s="56" t="s">
        <v>1186</v>
      </c>
      <c r="L15" s="119" t="str">
        <f t="shared" si="0"/>
        <v>MCI-00126</v>
      </c>
      <c r="M15" s="119" t="str">
        <f>IFERROR(LOOKUP(2,1/(COUNTIF($M$10:M14,$E$12:$E$78)=0),$E$12:$E$78),IF($M$12=M14,"",IF(M14&lt;&gt;"",$M$12,"")))</f>
        <v>National health strategies, alignment with disease-specific plans, health sector governance and financing</v>
      </c>
      <c r="N15" s="119" t="b">
        <v>0</v>
      </c>
    </row>
    <row r="16" spans="2:14" x14ac:dyDescent="0.35">
      <c r="B16" s="56" t="s">
        <v>429</v>
      </c>
      <c r="C16" s="54" t="s">
        <v>1156</v>
      </c>
      <c r="D16" s="53"/>
      <c r="E16" s="119" t="str">
        <f>IF(OR(TranslatemoduleName="[Name - FR]",TranslatemoduleName="[Name - ES]"),"",IF(InterventionsTranslate="[Name]","",InterventionsTranslate))</f>
        <v>Treatment</v>
      </c>
      <c r="F16" s="53" t="s">
        <v>1187</v>
      </c>
      <c r="G16" s="54" t="s">
        <v>1178</v>
      </c>
      <c r="H16" s="53"/>
      <c r="I16" s="53" t="s">
        <v>595</v>
      </c>
      <c r="J16" s="53" t="s">
        <v>596</v>
      </c>
      <c r="K16" s="56" t="s">
        <v>1188</v>
      </c>
      <c r="L16" s="119" t="str">
        <f t="shared" si="0"/>
        <v>MCI-00127</v>
      </c>
      <c r="M16" s="119" t="str">
        <f>IFERROR(LOOKUP(2,1/(COUNTIF($M$10:M15,$E$12:$E$78)=0),$E$12:$E$78),IF($M$12=M15,"",IF(M15&lt;&gt;"",$M$12,"")))</f>
        <v>Payment for results</v>
      </c>
      <c r="N16" s="119" t="b">
        <v>0</v>
      </c>
    </row>
    <row r="17" spans="2:14" x14ac:dyDescent="0.35">
      <c r="B17" s="56" t="s">
        <v>432</v>
      </c>
      <c r="C17" s="54" t="s">
        <v>1156</v>
      </c>
      <c r="D17" s="53"/>
      <c r="E17" s="119" t="str">
        <f>IF(OR(TranslatemoduleName="[Name - FR]",TranslatemoduleName="[Name - ES]"),"",IF(InterventionsTranslate="[Name]","",InterventionsTranslate))</f>
        <v>Prevention</v>
      </c>
      <c r="F17" s="53" t="s">
        <v>1189</v>
      </c>
      <c r="G17" s="54" t="s">
        <v>1178</v>
      </c>
      <c r="H17" s="53"/>
      <c r="I17" s="53" t="s">
        <v>598</v>
      </c>
      <c r="J17" s="53" t="s">
        <v>599</v>
      </c>
      <c r="K17" s="56" t="s">
        <v>1190</v>
      </c>
      <c r="L17" s="119" t="str">
        <f t="shared" si="0"/>
        <v>MCI-00128</v>
      </c>
      <c r="M17" s="119" t="str">
        <f>IFERROR(LOOKUP(2,1/(COUNTIF($M$10:M16,$E$12:$E$78)=0),$E$12:$E$78),IF($M$12=M16,"",IF(M16&lt;&gt;"",$M$12,"")))</f>
        <v>Other program management intervention(s)</v>
      </c>
      <c r="N17" s="119" t="b">
        <v>0</v>
      </c>
    </row>
    <row r="18" spans="2:14" x14ac:dyDescent="0.35">
      <c r="B18" s="56" t="s">
        <v>435</v>
      </c>
      <c r="C18" s="54" t="s">
        <v>1156</v>
      </c>
      <c r="D18" s="53"/>
      <c r="E18" s="119" t="str">
        <f>IF(OR(TranslatemoduleName="[Name - FR]",TranslatemoduleName="[Name - ES]"),"",IF(InterventionsTranslate="[Name]","",InterventionsTranslate))</f>
        <v>Engaging all care providers (TB care and prevention)</v>
      </c>
      <c r="F18" s="53" t="s">
        <v>1191</v>
      </c>
      <c r="G18" s="54" t="s">
        <v>1178</v>
      </c>
      <c r="H18" s="53"/>
      <c r="I18" s="53" t="s">
        <v>1192</v>
      </c>
      <c r="J18" s="53" t="s">
        <v>1193</v>
      </c>
      <c r="K18" s="56" t="s">
        <v>1194</v>
      </c>
      <c r="L18" s="119" t="str">
        <f t="shared" si="0"/>
        <v>MCI-00129</v>
      </c>
      <c r="M18" s="119" t="str">
        <f>IFERROR(LOOKUP(2,1/(COUNTIF($M$10:M17,$E$12:$E$78)=0),$E$12:$E$78),IF($M$12=M17,"",IF(M17&lt;&gt;"",$M$12,"")))</f>
        <v>Grant management</v>
      </c>
      <c r="N18" s="119" t="b">
        <v>0</v>
      </c>
    </row>
    <row r="19" spans="2:14" x14ac:dyDescent="0.35">
      <c r="B19" s="56" t="s">
        <v>438</v>
      </c>
      <c r="C19" s="54" t="s">
        <v>1156</v>
      </c>
      <c r="D19" s="53"/>
      <c r="E19" s="119" t="str">
        <f>IF(OR(TranslatemoduleName="[Name - FR]",TranslatemoduleName="[Name - ES]"),"",IF(InterventionsTranslate="[Name]","",InterventionsTranslate))</f>
        <v>Community TB care delivery</v>
      </c>
      <c r="F19" s="53" t="s">
        <v>1195</v>
      </c>
      <c r="G19" s="54" t="s">
        <v>1178</v>
      </c>
      <c r="H19" s="53"/>
      <c r="I19" s="53" t="s">
        <v>604</v>
      </c>
      <c r="J19" s="53" t="s">
        <v>605</v>
      </c>
      <c r="K19" s="56" t="s">
        <v>1196</v>
      </c>
      <c r="L19" s="119" t="str">
        <f t="shared" si="0"/>
        <v>MCI-00130</v>
      </c>
      <c r="M19" s="119" t="str">
        <f>IFERROR(LOOKUP(2,1/(COUNTIF($M$10:M18,$E$12:$E$78)=0),$E$12:$E$78),IF($M$12=M18,"",IF(M18&lt;&gt;"",$M$12,"")))</f>
        <v>Policy, planning, coordination and management of national disease control programs</v>
      </c>
      <c r="N19" s="119" t="b">
        <v>0</v>
      </c>
    </row>
    <row r="20" spans="2:14" x14ac:dyDescent="0.35">
      <c r="B20" s="56" t="s">
        <v>1197</v>
      </c>
      <c r="C20" s="54" t="s">
        <v>1156</v>
      </c>
      <c r="D20" s="53"/>
      <c r="E20" s="119" t="str">
        <f>IF(OR(TranslatemoduleName="[Name - FR]",TranslatemoduleName="[Name - ES]"),"",IF(InterventionsTranslate="[Name]","",InterventionsTranslate))</f>
        <v>Key populations (TB care and prevention) - Others</v>
      </c>
      <c r="F20" s="53" t="s">
        <v>1198</v>
      </c>
      <c r="G20" s="54" t="s">
        <v>1178</v>
      </c>
      <c r="H20" s="53"/>
      <c r="I20" s="53" t="s">
        <v>1199</v>
      </c>
      <c r="J20" s="53" t="s">
        <v>611</v>
      </c>
      <c r="K20" s="56" t="s">
        <v>1200</v>
      </c>
      <c r="L20" s="119" t="str">
        <f t="shared" si="0"/>
        <v>MCI-00131</v>
      </c>
      <c r="M20" s="119" t="str">
        <f>IFERROR(LOOKUP(2,1/(COUNTIF($M$10:M19,$E$12:$E$78)=0),$E$12:$E$78),IF($M$12=M19,"",IF(M19&lt;&gt;"",$M$12,"")))</f>
        <v>Program and data quality</v>
      </c>
      <c r="N20" s="119" t="b">
        <v>0</v>
      </c>
    </row>
    <row r="21" spans="2:14" x14ac:dyDescent="0.35">
      <c r="B21" s="56" t="s">
        <v>447</v>
      </c>
      <c r="C21" s="54" t="s">
        <v>1156</v>
      </c>
      <c r="D21" s="53"/>
      <c r="E21" s="119" t="str">
        <f>IF(OR(TranslatemoduleName="[Name - FR]",TranslatemoduleName="[Name - ES]"),"",IF(InterventionsTranslate="[Name]","",InterventionsTranslate))</f>
        <v>Collaborative activities with other programs and sectors (TB care and prevention)</v>
      </c>
      <c r="F21" s="53" t="s">
        <v>1201</v>
      </c>
      <c r="G21" s="54" t="s">
        <v>1178</v>
      </c>
      <c r="H21" s="53"/>
      <c r="I21" s="53" t="s">
        <v>1202</v>
      </c>
      <c r="J21" s="53" t="s">
        <v>1203</v>
      </c>
      <c r="K21" s="56" t="s">
        <v>1204</v>
      </c>
      <c r="L21" s="119" t="str">
        <f t="shared" si="0"/>
        <v>MCI-00132</v>
      </c>
      <c r="M21" s="119" t="str">
        <f>IFERROR(LOOKUP(2,1/(COUNTIF($M$10:M20,$E$12:$E$78)=0),$E$12:$E$78),IF($M$12=M20,"",IF(M20&lt;&gt;"",$M$12,"")))</f>
        <v>Other health information systems and M&amp;E intervention(s)</v>
      </c>
      <c r="N21" s="119" t="b">
        <v>0</v>
      </c>
    </row>
    <row r="22" spans="2:14" x14ac:dyDescent="0.35">
      <c r="B22" s="56" t="s">
        <v>453</v>
      </c>
      <c r="C22" s="54" t="s">
        <v>1156</v>
      </c>
      <c r="D22" s="53"/>
      <c r="E22" s="119" t="str">
        <f>IF(OR(TranslatemoduleName="[Name - FR]",TranslatemoduleName="[Name - ES]"),"",IF(InterventionsTranslate="[Name]","",InterventionsTranslate))</f>
        <v>Other TB care and prevention intervention(s)</v>
      </c>
      <c r="F22" s="53" t="s">
        <v>1205</v>
      </c>
      <c r="G22" s="54" t="s">
        <v>1178</v>
      </c>
      <c r="H22" s="53"/>
      <c r="I22" s="53" t="s">
        <v>1206</v>
      </c>
      <c r="J22" s="53" t="s">
        <v>620</v>
      </c>
      <c r="K22" s="56" t="s">
        <v>1207</v>
      </c>
      <c r="L22" s="119" t="str">
        <f t="shared" si="0"/>
        <v>MCI-00133</v>
      </c>
      <c r="M22" s="119" t="str">
        <f>IFERROR(LOOKUP(2,1/(COUNTIF($M$10:M21,$E$12:$E$78)=0),$E$12:$E$78),IF($M$12=M21,"",IF(M21&lt;&gt;"",$M$12,"")))</f>
        <v>Vital registration system</v>
      </c>
      <c r="N22" s="119" t="b">
        <v>0</v>
      </c>
    </row>
    <row r="23" spans="2:14" x14ac:dyDescent="0.35">
      <c r="B23" s="56" t="s">
        <v>1208</v>
      </c>
      <c r="C23" s="54" t="s">
        <v>1158</v>
      </c>
      <c r="D23" s="53"/>
      <c r="E23" s="119" t="str">
        <f>IF(OR(TranslatemoduleName="[Name - FR]",TranslatemoduleName="[Name - ES]"),"",IF(InterventionsTranslate="[Name]","",InterventionsTranslate))</f>
        <v>Key populations (TB/HIV) - Prisoners</v>
      </c>
      <c r="F23" s="53" t="s">
        <v>1209</v>
      </c>
      <c r="G23" s="54" t="s">
        <v>1210</v>
      </c>
      <c r="H23" s="53"/>
      <c r="I23" s="53" t="s">
        <v>544</v>
      </c>
      <c r="J23" s="53" t="s">
        <v>545</v>
      </c>
      <c r="K23" s="56" t="s">
        <v>1211</v>
      </c>
      <c r="L23" s="119" t="str">
        <f t="shared" si="0"/>
        <v>MCI-00581</v>
      </c>
      <c r="M23" s="119" t="str">
        <f>IFERROR(LOOKUP(2,1/(COUNTIF($M$10:M22,$E$12:$E$78)=0),$E$12:$E$78),IF($M$12=M22,"",IF(M22&lt;&gt;"",$M$12,"")))</f>
        <v>Administrative and finance data sources</v>
      </c>
      <c r="N23" s="119" t="b">
        <v>0</v>
      </c>
    </row>
    <row r="24" spans="2:14" x14ac:dyDescent="0.35">
      <c r="B24" s="56" t="s">
        <v>1212</v>
      </c>
      <c r="C24" s="54" t="s">
        <v>1158</v>
      </c>
      <c r="D24" s="53"/>
      <c r="E24" s="119" t="str">
        <f>IF(OR(TranslatemoduleName="[Name - FR]",TranslatemoduleName="[Name - ES]"),"",IF(InterventionsTranslate="[Name]","",InterventionsTranslate))</f>
        <v>Removing human rights and gender related barriers to TB/HIV collaborative programming</v>
      </c>
      <c r="F24" s="53" t="s">
        <v>1213</v>
      </c>
      <c r="G24" s="54" t="s">
        <v>1210</v>
      </c>
      <c r="H24" s="53"/>
      <c r="I24" s="53" t="s">
        <v>1214</v>
      </c>
      <c r="J24" s="53" t="s">
        <v>554</v>
      </c>
      <c r="K24" s="56" t="s">
        <v>1215</v>
      </c>
      <c r="L24" s="119" t="str">
        <f t="shared" si="0"/>
        <v>MCI-00582</v>
      </c>
      <c r="M24" s="119" t="str">
        <f>IFERROR(LOOKUP(2,1/(COUNTIF($M$10:M23,$E$12:$E$78)=0),$E$12:$E$78),IF($M$12=M23,"",IF(M23&lt;&gt;"",$M$12,"")))</f>
        <v>Surveys</v>
      </c>
      <c r="N24" s="119" t="b">
        <v>0</v>
      </c>
    </row>
    <row r="25" spans="2:14" x14ac:dyDescent="0.35">
      <c r="B25" s="56" t="s">
        <v>372</v>
      </c>
      <c r="C25" s="54" t="s">
        <v>1158</v>
      </c>
      <c r="D25" s="53"/>
      <c r="E25" s="119" t="str">
        <f>IF(OR(TranslatemoduleName="[Name - FR]",TranslatemoduleName="[Name - ES]"),"",IF(InterventionsTranslate="[Name]","",InterventionsTranslate))</f>
        <v>Engaging all care providers (TB/HIV)</v>
      </c>
      <c r="F25" s="53" t="s">
        <v>1216</v>
      </c>
      <c r="G25" s="54" t="s">
        <v>1210</v>
      </c>
      <c r="H25" s="53"/>
      <c r="I25" s="53" t="s">
        <v>1217</v>
      </c>
      <c r="J25" s="53" t="s">
        <v>539</v>
      </c>
      <c r="K25" s="56" t="s">
        <v>1218</v>
      </c>
      <c r="L25" s="119" t="str">
        <f t="shared" si="0"/>
        <v>MCI-00135</v>
      </c>
      <c r="M25" s="119" t="str">
        <f>IFERROR(LOOKUP(2,1/(COUNTIF($M$10:M24,$E$12:$E$78)=0),$E$12:$E$78),IF($M$12=M24,"",IF(M24&lt;&gt;"",$M$12,"")))</f>
        <v>Analysis, review and transparency</v>
      </c>
      <c r="N25" s="119" t="b">
        <v>0</v>
      </c>
    </row>
    <row r="26" spans="2:14" x14ac:dyDescent="0.35">
      <c r="B26" s="56" t="s">
        <v>369</v>
      </c>
      <c r="C26" s="54" t="s">
        <v>1158</v>
      </c>
      <c r="D26" s="53"/>
      <c r="E26" s="119" t="str">
        <f>IF(OR(TranslatemoduleName="[Name - FR]",TranslatemoduleName="[Name - ES]"),"",IF(InterventionsTranslate="[Name]","",InterventionsTranslate))</f>
        <v>TB/HIV collaborative interventions</v>
      </c>
      <c r="F26" s="53" t="s">
        <v>1219</v>
      </c>
      <c r="G26" s="54" t="s">
        <v>1210</v>
      </c>
      <c r="H26" s="53"/>
      <c r="I26" s="53" t="s">
        <v>535</v>
      </c>
      <c r="J26" s="53" t="s">
        <v>1220</v>
      </c>
      <c r="K26" s="56" t="s">
        <v>1221</v>
      </c>
      <c r="L26" s="119" t="str">
        <f t="shared" si="0"/>
        <v>MCI-00134</v>
      </c>
      <c r="M26" s="119" t="str">
        <f>IFERROR(LOOKUP(2,1/(COUNTIF($M$10:M25,$E$12:$E$78)=0),$E$12:$E$78),IF($M$12=M25,"",IF(M25&lt;&gt;"",$M$12,"")))</f>
        <v>Routine reporting</v>
      </c>
      <c r="N26" s="119" t="b">
        <v>0</v>
      </c>
    </row>
    <row r="27" spans="2:14" x14ac:dyDescent="0.35">
      <c r="B27" s="56" t="s">
        <v>375</v>
      </c>
      <c r="C27" s="54" t="s">
        <v>1158</v>
      </c>
      <c r="D27" s="53"/>
      <c r="E27" s="119" t="str">
        <f>IF(OR(TranslatemoduleName="[Name - FR]",TranslatemoduleName="[Name - ES]"),"",IF(InterventionsTranslate="[Name]","",InterventionsTranslate))</f>
        <v>Community TB/HIV care delivery</v>
      </c>
      <c r="F27" s="53" t="s">
        <v>1222</v>
      </c>
      <c r="G27" s="54" t="s">
        <v>1210</v>
      </c>
      <c r="H27" s="53"/>
      <c r="I27" s="53" t="s">
        <v>1223</v>
      </c>
      <c r="J27" s="53" t="s">
        <v>542</v>
      </c>
      <c r="K27" s="56" t="s">
        <v>1224</v>
      </c>
      <c r="L27" s="119" t="str">
        <f t="shared" si="0"/>
        <v>MCI-00136</v>
      </c>
      <c r="M27" s="119" t="str">
        <f>IFERROR(LOOKUP(2,1/(COUNTIF($M$10:M26,$E$12:$E$78)=0),$E$12:$E$78),IF($M$12=M26,"",IF(M26&lt;&gt;"",$M$12,"")))</f>
        <v>Other community responses and systems intervention(s)</v>
      </c>
      <c r="N27" s="119" t="b">
        <v>0</v>
      </c>
    </row>
    <row r="28" spans="2:14" x14ac:dyDescent="0.35">
      <c r="B28" s="56" t="s">
        <v>1225</v>
      </c>
      <c r="C28" s="54" t="s">
        <v>1158</v>
      </c>
      <c r="D28" s="53"/>
      <c r="E28" s="119" t="str">
        <f>IF(OR(TranslatemoduleName="[Name - FR]",TranslatemoduleName="[Name - ES]"),"",IF(InterventionsTranslate="[Name]","",InterventionsTranslate))</f>
        <v>Key populations (TB/HIV) - Others</v>
      </c>
      <c r="F28" s="53" t="s">
        <v>1226</v>
      </c>
      <c r="G28" s="54" t="s">
        <v>1210</v>
      </c>
      <c r="H28" s="53"/>
      <c r="I28" s="53" t="s">
        <v>1227</v>
      </c>
      <c r="J28" s="53" t="s">
        <v>1228</v>
      </c>
      <c r="K28" s="56" t="s">
        <v>1229</v>
      </c>
      <c r="L28" s="119" t="str">
        <f t="shared" si="0"/>
        <v>MCI-00137</v>
      </c>
      <c r="M28" s="119" t="str">
        <f>IFERROR(LOOKUP(2,1/(COUNTIF($M$10:M27,$E$12:$E$78)=0),$E$12:$E$78),IF($M$12=M27,"",IF(M27&lt;&gt;"",$M$12,"")))</f>
        <v>Institutional capacity building, planning and leadership development</v>
      </c>
      <c r="N28" s="119" t="b">
        <v>0</v>
      </c>
    </row>
    <row r="29" spans="2:14" x14ac:dyDescent="0.35">
      <c r="B29" s="56" t="s">
        <v>384</v>
      </c>
      <c r="C29" s="54" t="s">
        <v>1158</v>
      </c>
      <c r="D29" s="53"/>
      <c r="E29" s="119" t="str">
        <f>IF(OR(TranslatemoduleName="[Name - FR]",TranslatemoduleName="[Name - ES]"),"",IF(InterventionsTranslate="[Name]","",InterventionsTranslate))</f>
        <v>Collaborative activities with other programs and sectors (TB/HIV)</v>
      </c>
      <c r="F29" s="53" t="s">
        <v>1230</v>
      </c>
      <c r="G29" s="54" t="s">
        <v>1210</v>
      </c>
      <c r="H29" s="53"/>
      <c r="I29" s="53" t="s">
        <v>1231</v>
      </c>
      <c r="J29" s="53" t="s">
        <v>551</v>
      </c>
      <c r="K29" s="56" t="s">
        <v>1232</v>
      </c>
      <c r="L29" s="119" t="str">
        <f t="shared" si="0"/>
        <v>MCI-00138</v>
      </c>
      <c r="M29" s="119" t="str">
        <f>IFERROR(LOOKUP(2,1/(COUNTIF($M$10:M28,$E$12:$E$78)=0),$E$12:$E$78),IF($M$12=M28,"",IF(M28&lt;&gt;"",$M$12,"")))</f>
        <v>Social mobilization, building community linkages, collaboration and coordination</v>
      </c>
      <c r="N29" s="119" t="b">
        <v>0</v>
      </c>
    </row>
    <row r="30" spans="2:14" x14ac:dyDescent="0.35">
      <c r="B30" s="56" t="s">
        <v>390</v>
      </c>
      <c r="C30" s="54" t="s">
        <v>1158</v>
      </c>
      <c r="D30" s="53"/>
      <c r="E30" s="119" t="str">
        <f>IF(OR(TranslatemoduleName="[Name - FR]",TranslatemoduleName="[Name - ES]"),"",IF(InterventionsTranslate="[Name]","",InterventionsTranslate))</f>
        <v>Other TB/HIV intervention(s)</v>
      </c>
      <c r="F30" s="53" t="s">
        <v>1233</v>
      </c>
      <c r="G30" s="54" t="s">
        <v>1210</v>
      </c>
      <c r="H30" s="53"/>
      <c r="I30" s="53" t="s">
        <v>1234</v>
      </c>
      <c r="J30" s="53" t="s">
        <v>557</v>
      </c>
      <c r="K30" s="56" t="s">
        <v>1235</v>
      </c>
      <c r="L30" s="119" t="str">
        <f t="shared" si="0"/>
        <v>MCI-00139</v>
      </c>
      <c r="M30" s="119" t="str">
        <f>IFERROR(LOOKUP(2,1/(COUNTIF($M$10:M29,$E$12:$E$78)=0),$E$12:$E$78),IF($M$12=M29,"",IF(M29&lt;&gt;"",$M$12,"")))</f>
        <v>Community led advocacy</v>
      </c>
      <c r="N30" s="119" t="b">
        <v>0</v>
      </c>
    </row>
    <row r="31" spans="2:14" x14ac:dyDescent="0.35">
      <c r="B31" s="56" t="s">
        <v>468</v>
      </c>
      <c r="C31" s="54" t="s">
        <v>1154</v>
      </c>
      <c r="D31" s="53"/>
      <c r="E31" s="119" t="str">
        <f>IF(OR(TranslatemoduleName="[Name - FR]",TranslatemoduleName="[Name - ES]"),"",IF(InterventionsTranslate="[Name]","",InterventionsTranslate))</f>
        <v>Community MDR-TB care delivery</v>
      </c>
      <c r="F31" s="53" t="s">
        <v>1236</v>
      </c>
      <c r="G31" s="54" t="s">
        <v>1237</v>
      </c>
      <c r="H31" s="53"/>
      <c r="I31" s="53" t="s">
        <v>634</v>
      </c>
      <c r="J31" s="53" t="s">
        <v>635</v>
      </c>
      <c r="K31" s="56" t="s">
        <v>1238</v>
      </c>
      <c r="L31" s="119" t="str">
        <f t="shared" si="0"/>
        <v>MCI-00144</v>
      </c>
      <c r="M31" s="119" t="str">
        <f>IFERROR(LOOKUP(2,1/(COUNTIF($M$10:M30,$E$12:$E$78)=0),$E$12:$E$78),IF($M$12=M30,"",IF(M30&lt;&gt;"",$M$12,"")))</f>
        <v>Community-based monitoring</v>
      </c>
      <c r="N31" s="119" t="b">
        <v>0</v>
      </c>
    </row>
    <row r="32" spans="2:14" x14ac:dyDescent="0.35">
      <c r="B32" s="56" t="s">
        <v>465</v>
      </c>
      <c r="C32" s="54" t="s">
        <v>1154</v>
      </c>
      <c r="D32" s="53"/>
      <c r="E32" s="119" t="str">
        <f>IF(OR(TranslatemoduleName="[Name - FR]",TranslatemoduleName="[Name - ES]"),"",IF(InterventionsTranslate="[Name]","",InterventionsTranslate))</f>
        <v>Engaging all care providers (MDR-TB)</v>
      </c>
      <c r="F32" s="53" t="s">
        <v>1239</v>
      </c>
      <c r="G32" s="54" t="s">
        <v>1237</v>
      </c>
      <c r="H32" s="53"/>
      <c r="I32" s="53" t="s">
        <v>1240</v>
      </c>
      <c r="J32" s="53" t="s">
        <v>632</v>
      </c>
      <c r="K32" s="56" t="s">
        <v>1241</v>
      </c>
      <c r="L32" s="119" t="str">
        <f t="shared" si="0"/>
        <v>MCI-00143</v>
      </c>
      <c r="M32" s="119" t="str">
        <f>IFERROR(LOOKUP(2,1/(COUNTIF($M$10:M31,$E$12:$E$78)=0),$E$12:$E$78),IF($M$12=M31,"",IF(M31&lt;&gt;"",$M$12,"")))</f>
        <v>Routine financial management improvement (non-PFM)</v>
      </c>
      <c r="N32" s="119" t="b">
        <v>0</v>
      </c>
    </row>
    <row r="33" spans="2:14" x14ac:dyDescent="0.35">
      <c r="B33" s="56" t="s">
        <v>1242</v>
      </c>
      <c r="C33" s="54" t="s">
        <v>1154</v>
      </c>
      <c r="D33" s="53"/>
      <c r="E33" s="119" t="str">
        <f>IF(OR(TranslatemoduleName="[Name - FR]",TranslatemoduleName="[Name - ES]"),"",IF(InterventionsTranslate="[Name]","",InterventionsTranslate))</f>
        <v>Key populations (MDR-TB) - Others</v>
      </c>
      <c r="F33" s="53" t="s">
        <v>1243</v>
      </c>
      <c r="G33" s="54" t="s">
        <v>1237</v>
      </c>
      <c r="H33" s="53"/>
      <c r="I33" s="53" t="s">
        <v>640</v>
      </c>
      <c r="J33" s="53" t="s">
        <v>1244</v>
      </c>
      <c r="K33" s="56" t="s">
        <v>1245</v>
      </c>
      <c r="L33" s="119" t="str">
        <f t="shared" si="0"/>
        <v>MCI-00145</v>
      </c>
      <c r="M33" s="119" t="str">
        <f>IFERROR(LOOKUP(2,1/(COUNTIF($M$10:M32,$E$12:$E$78)=0),$E$12:$E$78),IF($M$12=M32,"",IF(M32&lt;&gt;"",$M$12,"")))</f>
        <v>Other financial management intervention(s)</v>
      </c>
      <c r="N33" s="119" t="b">
        <v>0</v>
      </c>
    </row>
    <row r="34" spans="2:14" x14ac:dyDescent="0.35">
      <c r="B34" s="56" t="s">
        <v>477</v>
      </c>
      <c r="C34" s="54" t="s">
        <v>1154</v>
      </c>
      <c r="D34" s="53"/>
      <c r="E34" s="119" t="str">
        <f>IF(OR(TranslatemoduleName="[Name - FR]",TranslatemoduleName="[Name - ES]"),"",IF(InterventionsTranslate="[Name]","",InterventionsTranslate))</f>
        <v>Collaborative activities with other programs and sectors (MDR-TB)</v>
      </c>
      <c r="F34" s="53" t="s">
        <v>1246</v>
      </c>
      <c r="G34" s="54" t="s">
        <v>1237</v>
      </c>
      <c r="H34" s="53"/>
      <c r="I34" s="53" t="s">
        <v>1247</v>
      </c>
      <c r="J34" s="53" t="s">
        <v>644</v>
      </c>
      <c r="K34" s="56" t="s">
        <v>1248</v>
      </c>
      <c r="L34" s="119" t="str">
        <f t="shared" si="0"/>
        <v>MCI-00146</v>
      </c>
      <c r="M34" s="119" t="str">
        <f>IFERROR(LOOKUP(2,1/(COUNTIF($M$10:M33,$E$12:$E$78)=0),$E$12:$E$78),IF($M$12=M33,"",IF(M33&lt;&gt;"",$M$12,"")))</f>
        <v>Public financial management (PFM) strengthening</v>
      </c>
      <c r="N34" s="119" t="b">
        <v>0</v>
      </c>
    </row>
    <row r="35" spans="2:14" x14ac:dyDescent="0.35">
      <c r="B35" s="56" t="s">
        <v>483</v>
      </c>
      <c r="C35" s="54" t="s">
        <v>1154</v>
      </c>
      <c r="D35" s="53"/>
      <c r="E35" s="119" t="str">
        <f>IF(OR(TranslatemoduleName="[Name - FR]",TranslatemoduleName="[Name - ES]"),"",IF(InterventionsTranslate="[Name]","",InterventionsTranslate))</f>
        <v>Other MDR-TB intervention(s)</v>
      </c>
      <c r="F35" s="53" t="s">
        <v>1249</v>
      </c>
      <c r="G35" s="54" t="s">
        <v>1237</v>
      </c>
      <c r="H35" s="53"/>
      <c r="I35" s="53" t="s">
        <v>1250</v>
      </c>
      <c r="J35" s="53" t="s">
        <v>650</v>
      </c>
      <c r="K35" s="56" t="s">
        <v>1251</v>
      </c>
      <c r="L35" s="119" t="str">
        <f t="shared" si="0"/>
        <v>MCI-00147</v>
      </c>
      <c r="M35" s="119" t="str">
        <f>IFERROR(LOOKUP(2,1/(COUNTIF($M$10:M34,$E$12:$E$78)=0),$E$12:$E$78),IF($M$12=M34,"",IF(M34&lt;&gt;"",$M$12,"")))</f>
        <v>Procurement strategy</v>
      </c>
      <c r="N35" s="119" t="b">
        <v>0</v>
      </c>
    </row>
    <row r="36" spans="2:14" x14ac:dyDescent="0.35">
      <c r="B36" s="56" t="s">
        <v>1252</v>
      </c>
      <c r="C36" s="54" t="s">
        <v>1154</v>
      </c>
      <c r="D36" s="53"/>
      <c r="E36" s="119" t="str">
        <f>IF(OR(TranslatemoduleName="[Name - FR]",TranslatemoduleName="[Name - ES]"),"",IF(InterventionsTranslate="[Name]","",InterventionsTranslate))</f>
        <v>Key populations (MDR-TB) - Prisoners</v>
      </c>
      <c r="F36" s="53" t="s">
        <v>1253</v>
      </c>
      <c r="G36" s="54" t="s">
        <v>1237</v>
      </c>
      <c r="H36" s="53"/>
      <c r="I36" s="53" t="s">
        <v>1254</v>
      </c>
      <c r="J36" s="53" t="s">
        <v>1255</v>
      </c>
      <c r="K36" s="56" t="s">
        <v>1256</v>
      </c>
      <c r="L36" s="119" t="str">
        <f t="shared" si="0"/>
        <v>MCI-00592</v>
      </c>
      <c r="M36" s="119" t="str">
        <f>IFERROR(LOOKUP(2,1/(COUNTIF($M$10:M35,$E$12:$E$78)=0),$E$12:$E$78),IF($M$12=M35,"",IF(M35&lt;&gt;"",$M$12,"")))</f>
        <v>National product selection, registration and quality monitoring</v>
      </c>
      <c r="N36" s="119" t="b">
        <v>0</v>
      </c>
    </row>
    <row r="37" spans="2:14" x14ac:dyDescent="0.35">
      <c r="B37" s="56" t="s">
        <v>1257</v>
      </c>
      <c r="C37" s="54" t="s">
        <v>1154</v>
      </c>
      <c r="D37" s="53"/>
      <c r="E37" s="119" t="str">
        <f>IF(OR(TranslatemoduleName="[Name - FR]",TranslatemoduleName="[Name - ES]"),"",IF(InterventionsTranslate="[Name]","",InterventionsTranslate))</f>
        <v>Removing human rights and gender related barriers to MDR-TB</v>
      </c>
      <c r="F37" s="53" t="s">
        <v>1258</v>
      </c>
      <c r="G37" s="54" t="s">
        <v>1237</v>
      </c>
      <c r="H37" s="53"/>
      <c r="I37" s="53" t="s">
        <v>1259</v>
      </c>
      <c r="J37" s="53" t="s">
        <v>647</v>
      </c>
      <c r="K37" s="56" t="s">
        <v>1260</v>
      </c>
      <c r="L37" s="119" t="str">
        <f t="shared" si="0"/>
        <v>MCI-00593</v>
      </c>
      <c r="M37" s="119" t="str">
        <f>IFERROR(LOOKUP(2,1/(COUNTIF($M$10:M36,$E$12:$E$78)=0),$E$12:$E$78),IF($M$12=M36,"",IF(M36&lt;&gt;"",$M$12,"")))</f>
        <v>Other procurement supply chain management intervention(s)</v>
      </c>
      <c r="N37" s="119" t="b">
        <v>0</v>
      </c>
    </row>
    <row r="38" spans="2:14" x14ac:dyDescent="0.35">
      <c r="B38" s="56" t="s">
        <v>456</v>
      </c>
      <c r="C38" s="54" t="s">
        <v>1154</v>
      </c>
      <c r="D38" s="53"/>
      <c r="E38" s="119" t="str">
        <f>IF(OR(TranslatemoduleName="[Name - FR]",TranslatemoduleName="[Name - ES]"),"",IF(InterventionsTranslate="[Name]","",InterventionsTranslate))</f>
        <v>Case detection and diagnosis: MDR-TB</v>
      </c>
      <c r="F38" s="53" t="s">
        <v>1261</v>
      </c>
      <c r="G38" s="54" t="s">
        <v>1237</v>
      </c>
      <c r="H38" s="53"/>
      <c r="I38" s="53" t="s">
        <v>1262</v>
      </c>
      <c r="J38" s="53" t="s">
        <v>623</v>
      </c>
      <c r="K38" s="56" t="s">
        <v>1263</v>
      </c>
      <c r="L38" s="119" t="str">
        <f t="shared" si="0"/>
        <v>MCI-00140</v>
      </c>
      <c r="M38" s="119" t="str">
        <f>IFERROR(LOOKUP(2,1/(COUNTIF($M$10:M37,$E$12:$E$78)=0),$E$12:$E$78),IF($M$12=M37,"",IF(M37&lt;&gt;"",$M$12,"")))</f>
        <v>Supply chain infrastructure and development of tools</v>
      </c>
      <c r="N38" s="119" t="b">
        <v>0</v>
      </c>
    </row>
    <row r="39" spans="2:14" x14ac:dyDescent="0.35">
      <c r="B39" s="56" t="s">
        <v>459</v>
      </c>
      <c r="C39" s="54" t="s">
        <v>1154</v>
      </c>
      <c r="D39" s="53"/>
      <c r="E39" s="119" t="str">
        <f>IF(OR(TranslatemoduleName="[Name - FR]",TranslatemoduleName="[Name - ES]"),"",IF(InterventionsTranslate="[Name]","",InterventionsTranslate))</f>
        <v>Treatment: MDR-TB</v>
      </c>
      <c r="F39" s="53" t="s">
        <v>1264</v>
      </c>
      <c r="G39" s="54" t="s">
        <v>1237</v>
      </c>
      <c r="H39" s="53"/>
      <c r="I39" s="53" t="s">
        <v>1265</v>
      </c>
      <c r="J39" s="53" t="s">
        <v>626</v>
      </c>
      <c r="K39" s="56" t="s">
        <v>1266</v>
      </c>
      <c r="L39" s="119" t="str">
        <f t="shared" si="0"/>
        <v>MCI-00141</v>
      </c>
      <c r="M39" s="119" t="str">
        <f>IFERROR(LOOKUP(2,1/(COUNTIF($M$10:M38,$E$12:$E$78)=0),$E$12:$E$78),IF($M$12=M38,"",IF(M38&lt;&gt;"",$M$12,"")))</f>
        <v>National costed supply chain master plan, and implementation</v>
      </c>
      <c r="N39" s="119" t="b">
        <v>0</v>
      </c>
    </row>
    <row r="40" spans="2:14" x14ac:dyDescent="0.35">
      <c r="B40" s="56" t="s">
        <v>462</v>
      </c>
      <c r="C40" s="54" t="s">
        <v>1154</v>
      </c>
      <c r="D40" s="53"/>
      <c r="E40" s="119" t="str">
        <f>IF(OR(TranslatemoduleName="[Name - FR]",TranslatemoduleName="[Name - ES]"),"",IF(InterventionsTranslate="[Name]","",InterventionsTranslate))</f>
        <v>Prevention for MDR-TB</v>
      </c>
      <c r="F40" s="53" t="s">
        <v>1267</v>
      </c>
      <c r="G40" s="54" t="s">
        <v>1237</v>
      </c>
      <c r="H40" s="53"/>
      <c r="I40" s="53" t="s">
        <v>628</v>
      </c>
      <c r="J40" s="53" t="s">
        <v>1268</v>
      </c>
      <c r="K40" s="56" t="s">
        <v>1269</v>
      </c>
      <c r="L40" s="119" t="str">
        <f t="shared" si="0"/>
        <v>MCI-00142</v>
      </c>
      <c r="M40" s="119" t="str">
        <f>IFERROR(LOOKUP(2,1/(COUNTIF($M$10:M39,$E$12:$E$78)=0),$E$12:$E$78),IF($M$12=M39,"",IF(M39&lt;&gt;"",$M$12,"")))</f>
        <v>Other health and community workforce intervention(s)</v>
      </c>
      <c r="N40" s="119" t="b">
        <v>0</v>
      </c>
    </row>
    <row r="41" spans="2:14" x14ac:dyDescent="0.35">
      <c r="B41" s="56" t="s">
        <v>609</v>
      </c>
      <c r="C41" s="54" t="s">
        <v>1160</v>
      </c>
      <c r="D41" s="53"/>
      <c r="E41" s="119" t="str">
        <f>IF(OR(TranslatemoduleName="[Name - FR]",TranslatemoduleName="[Name - ES]"),"",IF(InterventionsTranslate="[Name]","",InterventionsTranslate))</f>
        <v>Service organization and facility management</v>
      </c>
      <c r="F41" s="53" t="s">
        <v>1270</v>
      </c>
      <c r="G41" s="54" t="s">
        <v>1271</v>
      </c>
      <c r="H41" s="53"/>
      <c r="I41" s="53" t="s">
        <v>1272</v>
      </c>
      <c r="J41" s="53" t="s">
        <v>1273</v>
      </c>
      <c r="K41" s="56" t="s">
        <v>1274</v>
      </c>
      <c r="L41" s="119" t="str">
        <f t="shared" si="0"/>
        <v>MCI-00170</v>
      </c>
      <c r="M41" s="119" t="str">
        <f>IFERROR(LOOKUP(2,1/(COUNTIF($M$10:M40,$E$12:$E$78)=0),$E$12:$E$78),IF($M$12=M40,"",IF(M40&lt;&gt;"",$M$12,"")))</f>
        <v>Retention and scale-up of health workers, including for community health workers</v>
      </c>
      <c r="N41" s="119" t="b">
        <v>0</v>
      </c>
    </row>
    <row r="42" spans="2:14" x14ac:dyDescent="0.35">
      <c r="B42" s="56" t="s">
        <v>612</v>
      </c>
      <c r="C42" s="54" t="s">
        <v>1160</v>
      </c>
      <c r="D42" s="53"/>
      <c r="E42" s="119" t="str">
        <f>IF(OR(TranslatemoduleName="[Name - FR]",TranslatemoduleName="[Name - ES]"),"",IF(InterventionsTranslate="[Name]","",InterventionsTranslate))</f>
        <v>Laboratory systems for disease prevention, control, treatment and disease surveillance</v>
      </c>
      <c r="F42" s="53" t="s">
        <v>1275</v>
      </c>
      <c r="G42" s="54" t="s">
        <v>1271</v>
      </c>
      <c r="H42" s="53"/>
      <c r="I42" s="53" t="s">
        <v>736</v>
      </c>
      <c r="J42" s="53" t="s">
        <v>737</v>
      </c>
      <c r="K42" s="56" t="s">
        <v>1276</v>
      </c>
      <c r="L42" s="119" t="str">
        <f t="shared" si="0"/>
        <v>MCI-00171</v>
      </c>
      <c r="M42" s="119" t="str">
        <f>IFERROR(LOOKUP(2,1/(COUNTIF($M$10:M41,$E$12:$E$78)=0),$E$12:$E$78),IF($M$12=M41,"",IF(M41&lt;&gt;"",$M$12,"")))</f>
        <v>Capacity building for health workers, including those at community level</v>
      </c>
      <c r="N42" s="119" t="b">
        <v>0</v>
      </c>
    </row>
    <row r="43" spans="2:14" x14ac:dyDescent="0.35">
      <c r="B43" s="56" t="s">
        <v>615</v>
      </c>
      <c r="C43" s="54" t="s">
        <v>1160</v>
      </c>
      <c r="D43" s="53"/>
      <c r="E43" s="119" t="str">
        <f>IF(OR(TranslatemoduleName="[Name - FR]",TranslatemoduleName="[Name - ES]"),"",IF(InterventionsTranslate="[Name]","",InterventionsTranslate))</f>
        <v>Improving service delivery infrastructure</v>
      </c>
      <c r="F43" s="53" t="s">
        <v>1277</v>
      </c>
      <c r="G43" s="54" t="s">
        <v>1271</v>
      </c>
      <c r="H43" s="53"/>
      <c r="I43" s="53" t="s">
        <v>738</v>
      </c>
      <c r="J43" s="53" t="s">
        <v>739</v>
      </c>
      <c r="K43" s="56" t="s">
        <v>1278</v>
      </c>
      <c r="L43" s="119" t="str">
        <f t="shared" si="0"/>
        <v>MCI-00172</v>
      </c>
      <c r="M43" s="119" t="str">
        <f>IFERROR(LOOKUP(2,1/(COUNTIF($M$10:M42,$E$12:$E$78)=0),$E$12:$E$78),IF($M$12=M42,"",IF(M42&lt;&gt;"",$M$12,"")))</f>
        <v>Provider initiated feedback mechanisms</v>
      </c>
      <c r="N43" s="119" t="b">
        <v>0</v>
      </c>
    </row>
    <row r="44" spans="2:14" x14ac:dyDescent="0.35">
      <c r="B44" s="56" t="s">
        <v>621</v>
      </c>
      <c r="C44" s="54" t="s">
        <v>1160</v>
      </c>
      <c r="D44" s="53"/>
      <c r="E44" s="119" t="str">
        <f>IF(OR(TranslatemoduleName="[Name - FR]",TranslatemoduleName="[Name - ES]"),"",IF(InterventionsTranslate="[Name]","",InterventionsTranslate))</f>
        <v>Other service delivery intervention(s)</v>
      </c>
      <c r="F44" s="53" t="s">
        <v>1279</v>
      </c>
      <c r="G44" s="54" t="s">
        <v>1271</v>
      </c>
      <c r="H44" s="53"/>
      <c r="I44" s="53" t="s">
        <v>1280</v>
      </c>
      <c r="J44" s="53" t="s">
        <v>743</v>
      </c>
      <c r="K44" s="56" t="s">
        <v>1281</v>
      </c>
      <c r="L44" s="119" t="str">
        <f t="shared" si="0"/>
        <v>MCI-00173</v>
      </c>
      <c r="M44" s="119" t="str">
        <f>IFERROR(LOOKUP(2,1/(COUNTIF($M$10:M43,$E$12:$E$78)=0),$E$12:$E$78),IF($M$12=M43,"",IF(M43&lt;&gt;"",$M$12,"")))</f>
        <v>Supportive policy and programmatic environment</v>
      </c>
      <c r="N44" s="119" t="b">
        <v>0</v>
      </c>
    </row>
    <row r="45" spans="2:14" x14ac:dyDescent="0.35">
      <c r="B45" s="56" t="s">
        <v>606</v>
      </c>
      <c r="C45" s="54" t="s">
        <v>1160</v>
      </c>
      <c r="D45" s="53"/>
      <c r="E45" s="119" t="str">
        <f>IF(OR(TranslatemoduleName="[Name - FR]",TranslatemoduleName="[Name - ES]"),"",IF(InterventionsTranslate="[Name]","",InterventionsTranslate))</f>
        <v>Supportive policy and programmatic environment</v>
      </c>
      <c r="F45" s="53" t="s">
        <v>1282</v>
      </c>
      <c r="G45" s="54" t="s">
        <v>1271</v>
      </c>
      <c r="H45" s="53"/>
      <c r="I45" s="53" t="s">
        <v>732</v>
      </c>
      <c r="J45" s="53" t="s">
        <v>733</v>
      </c>
      <c r="K45" s="56" t="s">
        <v>1283</v>
      </c>
      <c r="L45" s="119" t="str">
        <f t="shared" si="0"/>
        <v>MCI-00601</v>
      </c>
      <c r="M45" s="119" t="str">
        <f>IFERROR(LOOKUP(2,1/(COUNTIF($M$10:M44,$E$12:$E$78)=0),$E$12:$E$78),IF($M$12=M44,"",IF(M44&lt;&gt;"",$M$12,"")))</f>
        <v>Other service delivery intervention(s)</v>
      </c>
      <c r="N45" s="119" t="b">
        <v>0</v>
      </c>
    </row>
    <row r="46" spans="2:14" x14ac:dyDescent="0.35">
      <c r="B46" s="56" t="s">
        <v>1284</v>
      </c>
      <c r="C46" s="54" t="s">
        <v>1160</v>
      </c>
      <c r="D46" s="53"/>
      <c r="E46" s="119" t="str">
        <f>IF(OR(TranslatemoduleName="[Name - FR]",TranslatemoduleName="[Name - ES]"),"",IF(InterventionsTranslate="[Name]","",InterventionsTranslate))</f>
        <v>Provider initiated feedback mechanisms</v>
      </c>
      <c r="F46" s="53" t="s">
        <v>1285</v>
      </c>
      <c r="G46" s="54" t="s">
        <v>1271</v>
      </c>
      <c r="H46" s="53"/>
      <c r="I46" s="53" t="s">
        <v>740</v>
      </c>
      <c r="J46" s="53" t="s">
        <v>741</v>
      </c>
      <c r="K46" s="56" t="s">
        <v>1286</v>
      </c>
      <c r="L46" s="119" t="str">
        <f t="shared" si="0"/>
        <v>MCI-00602</v>
      </c>
      <c r="M46" s="119" t="str">
        <f>IFERROR(LOOKUP(2,1/(COUNTIF($M$10:M45,$E$12:$E$78)=0),$E$12:$E$78),IF($M$12=M45,"",IF(M45&lt;&gt;"",$M$12,"")))</f>
        <v>Improving service delivery infrastructure</v>
      </c>
      <c r="N46" s="119" t="b">
        <v>0</v>
      </c>
    </row>
    <row r="47" spans="2:14" x14ac:dyDescent="0.35">
      <c r="B47" s="56" t="s">
        <v>597</v>
      </c>
      <c r="C47" s="54" t="s">
        <v>1164</v>
      </c>
      <c r="D47" s="53"/>
      <c r="E47" s="119" t="str">
        <f>IF(OR(TranslatemoduleName="[Name - FR]",TranslatemoduleName="[Name - ES]"),"",IF(InterventionsTranslate="[Name]","",InterventionsTranslate))</f>
        <v>Capacity building for health workers, including those at community level</v>
      </c>
      <c r="F47" s="53" t="s">
        <v>1287</v>
      </c>
      <c r="G47" s="54" t="s">
        <v>1288</v>
      </c>
      <c r="H47" s="53"/>
      <c r="I47" s="53" t="s">
        <v>726</v>
      </c>
      <c r="J47" s="53" t="s">
        <v>1289</v>
      </c>
      <c r="K47" s="56" t="s">
        <v>1290</v>
      </c>
      <c r="L47" s="119" t="str">
        <f t="shared" si="0"/>
        <v>MCI-00174</v>
      </c>
      <c r="M47" s="119" t="str">
        <f>IFERROR(LOOKUP(2,1/(COUNTIF($M$10:M46,$E$12:$E$78)=0),$E$12:$E$78),IF($M$12=M46,"",IF(M46&lt;&gt;"",$M$12,"")))</f>
        <v>Laboratory systems for disease prevention, control, treatment and disease surveillance</v>
      </c>
      <c r="N47" s="119" t="b">
        <v>0</v>
      </c>
    </row>
    <row r="48" spans="2:14" x14ac:dyDescent="0.35">
      <c r="B48" s="56" t="s">
        <v>600</v>
      </c>
      <c r="C48" s="54" t="s">
        <v>1164</v>
      </c>
      <c r="D48" s="53"/>
      <c r="E48" s="119" t="str">
        <f>IF(OR(TranslatemoduleName="[Name - FR]",TranslatemoduleName="[Name - ES]"),"",IF(InterventionsTranslate="[Name]","",InterventionsTranslate))</f>
        <v>Retention and scale-up of health workers, including for community health workers</v>
      </c>
      <c r="F48" s="53" t="s">
        <v>1291</v>
      </c>
      <c r="G48" s="54" t="s">
        <v>1288</v>
      </c>
      <c r="H48" s="53"/>
      <c r="I48" s="53" t="s">
        <v>728</v>
      </c>
      <c r="J48" s="53" t="s">
        <v>729</v>
      </c>
      <c r="K48" s="56" t="s">
        <v>1292</v>
      </c>
      <c r="L48" s="119" t="str">
        <f t="shared" si="0"/>
        <v>MCI-00175</v>
      </c>
      <c r="M48" s="119" t="str">
        <f>IFERROR(LOOKUP(2,1/(COUNTIF($M$10:M47,$E$12:$E$78)=0),$E$12:$E$78),IF($M$12=M47,"",IF(M47&lt;&gt;"",$M$12,"")))</f>
        <v>Service organization and facility management</v>
      </c>
      <c r="N48" s="119" t="b">
        <v>0</v>
      </c>
    </row>
    <row r="49" spans="2:14" x14ac:dyDescent="0.35">
      <c r="B49" s="56" t="s">
        <v>603</v>
      </c>
      <c r="C49" s="54" t="s">
        <v>1164</v>
      </c>
      <c r="D49" s="53"/>
      <c r="E49" s="119" t="str">
        <f>IF(OR(TranslatemoduleName="[Name - FR]",TranslatemoduleName="[Name - ES]"),"",IF(InterventionsTranslate="[Name]","",InterventionsTranslate))</f>
        <v>Other health and community workforce intervention(s)</v>
      </c>
      <c r="F49" s="53" t="s">
        <v>1293</v>
      </c>
      <c r="G49" s="54" t="s">
        <v>1288</v>
      </c>
      <c r="H49" s="53"/>
      <c r="I49" s="53" t="s">
        <v>1294</v>
      </c>
      <c r="J49" s="53" t="s">
        <v>731</v>
      </c>
      <c r="K49" s="56" t="s">
        <v>1295</v>
      </c>
      <c r="L49" s="119" t="str">
        <f t="shared" si="0"/>
        <v>MCI-00177</v>
      </c>
      <c r="M49" s="119" t="str">
        <f>IFERROR(LOOKUP(2,1/(COUNTIF($M$10:M48,$E$12:$E$78)=0),$E$12:$E$78),IF($M$12=M48,"",IF(M48&lt;&gt;"",$M$12,"")))</f>
        <v>Prevention for MDR-TB</v>
      </c>
      <c r="N49" s="119" t="b">
        <v>0</v>
      </c>
    </row>
    <row r="50" spans="2:14" x14ac:dyDescent="0.35">
      <c r="B50" s="56" t="s">
        <v>561</v>
      </c>
      <c r="C50" s="54" t="s">
        <v>1167</v>
      </c>
      <c r="D50" s="53"/>
      <c r="E50" s="119" t="str">
        <f>IF(OR(TranslatemoduleName="[Name - FR]",TranslatemoduleName="[Name - ES]"),"",IF(InterventionsTranslate="[Name]","",InterventionsTranslate))</f>
        <v>National costed supply chain master plan, and implementation</v>
      </c>
      <c r="F50" s="53" t="s">
        <v>1296</v>
      </c>
      <c r="G50" s="54" t="s">
        <v>1297</v>
      </c>
      <c r="H50" s="53"/>
      <c r="I50" s="53" t="s">
        <v>1298</v>
      </c>
      <c r="J50" s="53" t="s">
        <v>1299</v>
      </c>
      <c r="K50" s="56" t="s">
        <v>1300</v>
      </c>
      <c r="L50" s="119" t="str">
        <f t="shared" si="0"/>
        <v>MCI-00178</v>
      </c>
      <c r="M50" s="119" t="str">
        <f>IFERROR(LOOKUP(2,1/(COUNTIF($M$10:M49,$E$12:$E$78)=0),$E$12:$E$78),IF($M$12=M49,"",IF(M49&lt;&gt;"",$M$12,"")))</f>
        <v>Treatment: MDR-TB</v>
      </c>
      <c r="N50" s="119" t="b">
        <v>0</v>
      </c>
    </row>
    <row r="51" spans="2:14" x14ac:dyDescent="0.35">
      <c r="B51" s="56" t="s">
        <v>567</v>
      </c>
      <c r="C51" s="54" t="s">
        <v>1167</v>
      </c>
      <c r="D51" s="53"/>
      <c r="E51" s="119" t="str">
        <f>IF(OR(TranslatemoduleName="[Name - FR]",TranslatemoduleName="[Name - ES]"),"",IF(InterventionsTranslate="[Name]","",InterventionsTranslate))</f>
        <v>Supply chain infrastructure and development of tools</v>
      </c>
      <c r="F51" s="53" t="s">
        <v>1301</v>
      </c>
      <c r="G51" s="54" t="s">
        <v>1297</v>
      </c>
      <c r="H51" s="53"/>
      <c r="I51" s="53" t="s">
        <v>1302</v>
      </c>
      <c r="J51" s="53" t="s">
        <v>707</v>
      </c>
      <c r="K51" s="56" t="s">
        <v>1303</v>
      </c>
      <c r="L51" s="119" t="str">
        <f t="shared" si="0"/>
        <v>MCI-00179</v>
      </c>
      <c r="M51" s="119" t="str">
        <f>IFERROR(LOOKUP(2,1/(COUNTIF($M$10:M50,$E$12:$E$78)=0),$E$12:$E$78),IF($M$12=M50,"",IF(M50&lt;&gt;"",$M$12,"")))</f>
        <v>Case detection and diagnosis: MDR-TB</v>
      </c>
      <c r="N51" s="119" t="b">
        <v>0</v>
      </c>
    </row>
    <row r="52" spans="2:14" x14ac:dyDescent="0.35">
      <c r="B52" s="56" t="s">
        <v>1304</v>
      </c>
      <c r="C52" s="54" t="s">
        <v>1167</v>
      </c>
      <c r="D52" s="53"/>
      <c r="E52" s="119" t="str">
        <f>IF(OR(TranslatemoduleName="[Name - FR]",TranslatemoduleName="[Name - ES]"),"",IF(InterventionsTranslate="[Name]","",InterventionsTranslate))</f>
        <v>Other procurement supply chain management intervention(s)</v>
      </c>
      <c r="F52" s="53" t="s">
        <v>1305</v>
      </c>
      <c r="G52" s="54" t="s">
        <v>1297</v>
      </c>
      <c r="H52" s="53"/>
      <c r="I52" s="53" t="s">
        <v>1306</v>
      </c>
      <c r="J52" s="53" t="s">
        <v>711</v>
      </c>
      <c r="K52" s="56" t="s">
        <v>1307</v>
      </c>
      <c r="L52" s="119" t="str">
        <f t="shared" si="0"/>
        <v>MCI-00180</v>
      </c>
      <c r="M52" s="119" t="str">
        <f>IFERROR(LOOKUP(2,1/(COUNTIF($M$10:M51,$E$12:$E$78)=0),$E$12:$E$78),IF($M$12=M51,"",IF(M51&lt;&gt;"",$M$12,"")))</f>
        <v>Removing human rights and gender related barriers to MDR-TB</v>
      </c>
      <c r="N52" s="119" t="b">
        <v>0</v>
      </c>
    </row>
    <row r="53" spans="2:14" x14ac:dyDescent="0.35">
      <c r="B53" s="56" t="s">
        <v>570</v>
      </c>
      <c r="C53" s="54" t="s">
        <v>1167</v>
      </c>
      <c r="D53" s="53"/>
      <c r="E53" s="119" t="str">
        <f>IF(OR(TranslatemoduleName="[Name - FR]",TranslatemoduleName="[Name - ES]"),"",IF(InterventionsTranslate="[Name]","",InterventionsTranslate))</f>
        <v>National product selection, registration and quality monitoring</v>
      </c>
      <c r="F53" s="53" t="s">
        <v>1308</v>
      </c>
      <c r="G53" s="54" t="s">
        <v>1297</v>
      </c>
      <c r="H53" s="53"/>
      <c r="I53" s="53" t="s">
        <v>708</v>
      </c>
      <c r="J53" s="53" t="s">
        <v>709</v>
      </c>
      <c r="K53" s="56" t="s">
        <v>1309</v>
      </c>
      <c r="L53" s="119" t="str">
        <f t="shared" si="0"/>
        <v>MCI-00599</v>
      </c>
      <c r="M53" s="119" t="str">
        <f>IFERROR(LOOKUP(2,1/(COUNTIF($M$10:M52,$E$12:$E$78)=0),$E$12:$E$78),IF($M$12=M52,"",IF(M52&lt;&gt;"",$M$12,"")))</f>
        <v>Key populations (MDR-TB) - Prisoners</v>
      </c>
      <c r="N53" s="119" t="b">
        <v>0</v>
      </c>
    </row>
    <row r="54" spans="2:14" x14ac:dyDescent="0.35">
      <c r="B54" s="56" t="s">
        <v>564</v>
      </c>
      <c r="C54" s="54" t="s">
        <v>1167</v>
      </c>
      <c r="D54" s="53"/>
      <c r="E54" s="119" t="str">
        <f>IF(OR(TranslatemoduleName="[Name - FR]",TranslatemoduleName="[Name - ES]"),"",IF(InterventionsTranslate="[Name]","",InterventionsTranslate))</f>
        <v>Procurement strategy</v>
      </c>
      <c r="F54" s="53" t="s">
        <v>1310</v>
      </c>
      <c r="G54" s="54" t="s">
        <v>1297</v>
      </c>
      <c r="H54" s="53"/>
      <c r="I54" s="53" t="s">
        <v>704</v>
      </c>
      <c r="J54" s="53" t="s">
        <v>705</v>
      </c>
      <c r="K54" s="56" t="s">
        <v>1311</v>
      </c>
      <c r="L54" s="119" t="str">
        <f t="shared" si="0"/>
        <v>MCI-00598</v>
      </c>
      <c r="M54" s="119" t="str">
        <f>IFERROR(LOOKUP(2,1/(COUNTIF($M$10:M53,$E$12:$E$78)=0),$E$12:$E$78),IF($M$12=M53,"",IF(M53&lt;&gt;"",$M$12,"")))</f>
        <v>Other MDR-TB intervention(s)</v>
      </c>
      <c r="N54" s="119" t="b">
        <v>0</v>
      </c>
    </row>
    <row r="55" spans="2:14" x14ac:dyDescent="0.35">
      <c r="B55" s="56" t="s">
        <v>1312</v>
      </c>
      <c r="C55" s="54" t="s">
        <v>1170</v>
      </c>
      <c r="D55" s="53"/>
      <c r="E55" s="119" t="str">
        <f>IF(OR(TranslatemoduleName="[Name - FR]",TranslatemoduleName="[Name - ES]"),"",IF(InterventionsTranslate="[Name]","",InterventionsTranslate))</f>
        <v>Public financial management (PFM) strengthening</v>
      </c>
      <c r="F55" s="53" t="s">
        <v>1313</v>
      </c>
      <c r="G55" s="54" t="s">
        <v>1314</v>
      </c>
      <c r="H55" s="53"/>
      <c r="I55" s="53" t="s">
        <v>744</v>
      </c>
      <c r="J55" s="53" t="s">
        <v>745</v>
      </c>
      <c r="K55" s="56" t="s">
        <v>1315</v>
      </c>
      <c r="L55" s="119" t="str">
        <f t="shared" si="0"/>
        <v>MCI-00187</v>
      </c>
      <c r="M55" s="119" t="str">
        <f>IFERROR(LOOKUP(2,1/(COUNTIF($M$10:M54,$E$12:$E$78)=0),$E$12:$E$78),IF($M$12=M54,"",IF(M54&lt;&gt;"",$M$12,"")))</f>
        <v>Collaborative activities with other programs and sectors (MDR-TB)</v>
      </c>
      <c r="N55" s="119" t="b">
        <v>0</v>
      </c>
    </row>
    <row r="56" spans="2:14" x14ac:dyDescent="0.35">
      <c r="B56" s="56" t="s">
        <v>630</v>
      </c>
      <c r="C56" s="54" t="s">
        <v>1170</v>
      </c>
      <c r="D56" s="53"/>
      <c r="E56" s="119" t="str">
        <f>IF(OR(TranslatemoduleName="[Name - FR]",TranslatemoduleName="[Name - ES]"),"",IF(InterventionsTranslate="[Name]","",InterventionsTranslate))</f>
        <v>Other financial management intervention(s)</v>
      </c>
      <c r="F56" s="53" t="s">
        <v>1316</v>
      </c>
      <c r="G56" s="54" t="s">
        <v>1314</v>
      </c>
      <c r="H56" s="53"/>
      <c r="I56" s="53" t="s">
        <v>1317</v>
      </c>
      <c r="J56" s="53" t="s">
        <v>749</v>
      </c>
      <c r="K56" s="56" t="s">
        <v>1318</v>
      </c>
      <c r="L56" s="119" t="str">
        <f t="shared" si="0"/>
        <v>MCI-00188</v>
      </c>
      <c r="M56" s="119" t="str">
        <f>IFERROR(LOOKUP(2,1/(COUNTIF($M$10:M55,$E$12:$E$78)=0),$E$12:$E$78),IF($M$12=M55,"",IF(M55&lt;&gt;"",$M$12,"")))</f>
        <v>Key populations (MDR-TB) - Others</v>
      </c>
      <c r="N56" s="119" t="b">
        <v>0</v>
      </c>
    </row>
    <row r="57" spans="2:14" x14ac:dyDescent="0.35">
      <c r="B57" s="56" t="s">
        <v>1319</v>
      </c>
      <c r="C57" s="54" t="s">
        <v>1170</v>
      </c>
      <c r="D57" s="53"/>
      <c r="E57" s="119" t="str">
        <f>IF(OR(TranslatemoduleName="[Name - FR]",TranslatemoduleName="[Name - ES]"),"",IF(InterventionsTranslate="[Name]","",InterventionsTranslate))</f>
        <v>Routine financial management improvement (non-PFM)</v>
      </c>
      <c r="F57" s="53" t="s">
        <v>1320</v>
      </c>
      <c r="G57" s="54" t="s">
        <v>1314</v>
      </c>
      <c r="H57" s="53"/>
      <c r="I57" s="53" t="s">
        <v>746</v>
      </c>
      <c r="J57" s="53" t="s">
        <v>747</v>
      </c>
      <c r="K57" s="56" t="s">
        <v>1321</v>
      </c>
      <c r="L57" s="119" t="str">
        <f t="shared" si="0"/>
        <v>MCI-00603</v>
      </c>
      <c r="M57" s="119" t="str">
        <f>IFERROR(LOOKUP(2,1/(COUNTIF($M$10:M56,$E$12:$E$78)=0),$E$12:$E$78),IF($M$12=M56,"",IF(M56&lt;&gt;"",$M$12,"")))</f>
        <v>Engaging all care providers (MDR-TB)</v>
      </c>
      <c r="N57" s="119" t="b">
        <v>0</v>
      </c>
    </row>
    <row r="58" spans="2:14" x14ac:dyDescent="0.35">
      <c r="B58" s="56" t="s">
        <v>639</v>
      </c>
      <c r="C58" s="54" t="s">
        <v>1141</v>
      </c>
      <c r="D58" s="53"/>
      <c r="E58" s="119" t="str">
        <f>IF(OR(TranslatemoduleName="[Name - FR]",TranslatemoduleName="[Name - ES]"),"",IF(InterventionsTranslate="[Name]","",InterventionsTranslate))</f>
        <v>Community-based monitoring</v>
      </c>
      <c r="F58" s="53" t="s">
        <v>1322</v>
      </c>
      <c r="G58" s="54" t="s">
        <v>1323</v>
      </c>
      <c r="H58" s="53"/>
      <c r="I58" s="53" t="s">
        <v>754</v>
      </c>
      <c r="J58" s="53" t="s">
        <v>755</v>
      </c>
      <c r="K58" s="56" t="s">
        <v>1324</v>
      </c>
      <c r="L58" s="119" t="str">
        <f t="shared" si="0"/>
        <v>MCI-00195</v>
      </c>
      <c r="M58" s="119" t="str">
        <f>IFERROR(LOOKUP(2,1/(COUNTIF($M$10:M57,$E$12:$E$78)=0),$E$12:$E$78),IF($M$12=M57,"",IF(M57&lt;&gt;"",$M$12,"")))</f>
        <v>Community MDR-TB care delivery</v>
      </c>
      <c r="N58" s="119" t="b">
        <v>0</v>
      </c>
    </row>
    <row r="59" spans="2:14" x14ac:dyDescent="0.35">
      <c r="B59" s="56" t="s">
        <v>1325</v>
      </c>
      <c r="C59" s="54" t="s">
        <v>1141</v>
      </c>
      <c r="D59" s="53"/>
      <c r="E59" s="119" t="str">
        <f>IF(OR(TranslatemoduleName="[Name - FR]",TranslatemoduleName="[Name - ES]"),"",IF(InterventionsTranslate="[Name]","",InterventionsTranslate))</f>
        <v>Community led advocacy</v>
      </c>
      <c r="F59" s="53" t="s">
        <v>1326</v>
      </c>
      <c r="G59" s="54" t="s">
        <v>1323</v>
      </c>
      <c r="H59" s="53"/>
      <c r="I59" s="53" t="s">
        <v>756</v>
      </c>
      <c r="J59" s="53" t="s">
        <v>757</v>
      </c>
      <c r="K59" s="56" t="s">
        <v>1327</v>
      </c>
      <c r="L59" s="119" t="str">
        <f t="shared" si="0"/>
        <v>MCI-00196</v>
      </c>
      <c r="M59" s="119" t="str">
        <f>IFERROR(LOOKUP(2,1/(COUNTIF($M$10:M58,$E$12:$E$78)=0),$E$12:$E$78),IF($M$12=M58,"",IF(M58&lt;&gt;"",$M$12,"")))</f>
        <v>Other TB/HIV intervention(s)</v>
      </c>
      <c r="N59" s="119" t="b">
        <v>0</v>
      </c>
    </row>
    <row r="60" spans="2:14" x14ac:dyDescent="0.35">
      <c r="B60" s="56" t="s">
        <v>645</v>
      </c>
      <c r="C60" s="54" t="s">
        <v>1141</v>
      </c>
      <c r="D60" s="53"/>
      <c r="E60" s="119" t="str">
        <f>IF(OR(TranslatemoduleName="[Name - FR]",TranslatemoduleName="[Name - ES]"),"",IF(InterventionsTranslate="[Name]","",InterventionsTranslate))</f>
        <v>Social mobilization, building community linkages, collaboration and coordination</v>
      </c>
      <c r="F60" s="53" t="s">
        <v>1328</v>
      </c>
      <c r="G60" s="54" t="s">
        <v>1323</v>
      </c>
      <c r="H60" s="53"/>
      <c r="I60" s="53" t="s">
        <v>758</v>
      </c>
      <c r="J60" s="53" t="s">
        <v>759</v>
      </c>
      <c r="K60" s="56" t="s">
        <v>1329</v>
      </c>
      <c r="L60" s="119" t="str">
        <f t="shared" si="0"/>
        <v>MCI-00197</v>
      </c>
      <c r="M60" s="119" t="str">
        <f>IFERROR(LOOKUP(2,1/(COUNTIF($M$10:M59,$E$12:$E$78)=0),$E$12:$E$78),IF($M$12=M59,"",IF(M59&lt;&gt;"",$M$12,"")))</f>
        <v>Collaborative activities with other programs and sectors (TB/HIV)</v>
      </c>
      <c r="N60" s="119" t="b">
        <v>0</v>
      </c>
    </row>
    <row r="61" spans="2:14" x14ac:dyDescent="0.35">
      <c r="B61" s="56" t="s">
        <v>648</v>
      </c>
      <c r="C61" s="54" t="s">
        <v>1141</v>
      </c>
      <c r="D61" s="53"/>
      <c r="E61" s="119" t="str">
        <f>IF(OR(TranslatemoduleName="[Name - FR]",TranslatemoduleName="[Name - ES]"),"",IF(InterventionsTranslate="[Name]","",InterventionsTranslate))</f>
        <v>Institutional capacity building, planning and leadership development</v>
      </c>
      <c r="F61" s="53" t="s">
        <v>1330</v>
      </c>
      <c r="G61" s="54" t="s">
        <v>1323</v>
      </c>
      <c r="H61" s="53"/>
      <c r="I61" s="53" t="s">
        <v>760</v>
      </c>
      <c r="J61" s="53" t="s">
        <v>761</v>
      </c>
      <c r="K61" s="56" t="s">
        <v>1331</v>
      </c>
      <c r="L61" s="119" t="str">
        <f t="shared" si="0"/>
        <v>MCI-00198</v>
      </c>
      <c r="M61" s="119" t="str">
        <f>IFERROR(LOOKUP(2,1/(COUNTIF($M$10:M60,$E$12:$E$78)=0),$E$12:$E$78),IF($M$12=M60,"",IF(M60&lt;&gt;"",$M$12,"")))</f>
        <v>Key populations (TB/HIV) - Others</v>
      </c>
      <c r="N61" s="119" t="b">
        <v>0</v>
      </c>
    </row>
    <row r="62" spans="2:14" x14ac:dyDescent="0.35">
      <c r="B62" s="56" t="s">
        <v>1332</v>
      </c>
      <c r="C62" s="54" t="s">
        <v>1141</v>
      </c>
      <c r="D62" s="53"/>
      <c r="E62" s="119" t="str">
        <f>IF(OR(TranslatemoduleName="[Name - FR]",TranslatemoduleName="[Name - ES]"),"",IF(InterventionsTranslate="[Name]","",InterventionsTranslate))</f>
        <v>Other community responses and systems intervention(s)</v>
      </c>
      <c r="F62" s="53" t="s">
        <v>1333</v>
      </c>
      <c r="G62" s="54" t="s">
        <v>1323</v>
      </c>
      <c r="H62" s="53"/>
      <c r="I62" s="53" t="s">
        <v>1334</v>
      </c>
      <c r="J62" s="53" t="s">
        <v>763</v>
      </c>
      <c r="K62" s="56" t="s">
        <v>1335</v>
      </c>
      <c r="L62" s="119" t="str">
        <f t="shared" si="0"/>
        <v>MCI-00199</v>
      </c>
      <c r="M62" s="119" t="str">
        <f>IFERROR(LOOKUP(2,1/(COUNTIF($M$10:M61,$E$12:$E$78)=0),$E$12:$E$78),IF($M$12=M61,"",IF(M61&lt;&gt;"",$M$12,"")))</f>
        <v>Community TB/HIV care delivery</v>
      </c>
      <c r="N62" s="119" t="b">
        <v>0</v>
      </c>
    </row>
    <row r="63" spans="2:14" x14ac:dyDescent="0.35">
      <c r="B63" s="56" t="s">
        <v>576</v>
      </c>
      <c r="C63" s="54" t="s">
        <v>1146</v>
      </c>
      <c r="D63" s="53"/>
      <c r="E63" s="119" t="str">
        <f>IF(OR(TranslatemoduleName="[Name - FR]",TranslatemoduleName="[Name - ES]"),"",IF(InterventionsTranslate="[Name]","",InterventionsTranslate))</f>
        <v>Routine reporting</v>
      </c>
      <c r="F63" s="53" t="s">
        <v>1336</v>
      </c>
      <c r="G63" s="54" t="s">
        <v>1337</v>
      </c>
      <c r="H63" s="53"/>
      <c r="I63" s="53" t="s">
        <v>712</v>
      </c>
      <c r="J63" s="53" t="s">
        <v>1338</v>
      </c>
      <c r="K63" s="56" t="s">
        <v>1339</v>
      </c>
      <c r="L63" s="119" t="str">
        <f t="shared" si="0"/>
        <v>MCI-00200</v>
      </c>
      <c r="M63" s="119" t="str">
        <f>IFERROR(LOOKUP(2,1/(COUNTIF($M$10:M62,$E$12:$E$78)=0),$E$12:$E$78),IF($M$12=M62,"",IF(M62&lt;&gt;"",$M$12,"")))</f>
        <v>TB/HIV collaborative interventions</v>
      </c>
      <c r="N63" s="119" t="b">
        <v>0</v>
      </c>
    </row>
    <row r="64" spans="2:14" x14ac:dyDescent="0.35">
      <c r="B64" s="56" t="s">
        <v>582</v>
      </c>
      <c r="C64" s="54" t="s">
        <v>1146</v>
      </c>
      <c r="D64" s="53"/>
      <c r="E64" s="119" t="str">
        <f>IF(OR(TranslatemoduleName="[Name - FR]",TranslatemoduleName="[Name - ES]"),"",IF(InterventionsTranslate="[Name]","",InterventionsTranslate))</f>
        <v>Analysis, review and transparency</v>
      </c>
      <c r="F64" s="53" t="s">
        <v>1340</v>
      </c>
      <c r="G64" s="54" t="s">
        <v>1337</v>
      </c>
      <c r="H64" s="53"/>
      <c r="I64" s="53" t="s">
        <v>716</v>
      </c>
      <c r="J64" s="53" t="s">
        <v>717</v>
      </c>
      <c r="K64" s="56" t="s">
        <v>1341</v>
      </c>
      <c r="L64" s="119" t="str">
        <f t="shared" si="0"/>
        <v>MCI-00201</v>
      </c>
      <c r="M64" s="119" t="str">
        <f>IFERROR(LOOKUP(2,1/(COUNTIF($M$10:M63,$E$12:$E$78)=0),$E$12:$E$78),IF($M$12=M63,"",IF(M63&lt;&gt;"",$M$12,"")))</f>
        <v>Engaging all care providers (TB/HIV)</v>
      </c>
      <c r="N64" s="119" t="b">
        <v>0</v>
      </c>
    </row>
    <row r="65" spans="1:14" x14ac:dyDescent="0.35">
      <c r="B65" s="56" t="s">
        <v>585</v>
      </c>
      <c r="C65" s="54" t="s">
        <v>1146</v>
      </c>
      <c r="D65" s="53"/>
      <c r="E65" s="119" t="str">
        <f>IF(OR(TranslatemoduleName="[Name - FR]",TranslatemoduleName="[Name - ES]"),"",IF(InterventionsTranslate="[Name]","",InterventionsTranslate))</f>
        <v>Surveys</v>
      </c>
      <c r="F65" s="53" t="s">
        <v>1342</v>
      </c>
      <c r="G65" s="54" t="s">
        <v>1337</v>
      </c>
      <c r="H65" s="53"/>
      <c r="I65" s="53" t="s">
        <v>1343</v>
      </c>
      <c r="J65" s="53" t="s">
        <v>719</v>
      </c>
      <c r="K65" s="56" t="s">
        <v>1344</v>
      </c>
      <c r="L65" s="119" t="str">
        <f t="shared" si="0"/>
        <v>MCI-00202</v>
      </c>
      <c r="M65" s="119" t="str">
        <f>IFERROR(LOOKUP(2,1/(COUNTIF($M$10:M64,$E$12:$E$78)=0),$E$12:$E$78),IF($M$12=M64,"",IF(M64&lt;&gt;"",$M$12,"")))</f>
        <v>Removing human rights and gender related barriers to TB/HIV collaborative programming</v>
      </c>
      <c r="N65" s="119" t="b">
        <v>0</v>
      </c>
    </row>
    <row r="66" spans="1:14" x14ac:dyDescent="0.35">
      <c r="B66" s="56" t="s">
        <v>1345</v>
      </c>
      <c r="C66" s="54" t="s">
        <v>1146</v>
      </c>
      <c r="D66" s="53"/>
      <c r="E66" s="119" t="str">
        <f>IF(OR(TranslatemoduleName="[Name - FR]",TranslatemoduleName="[Name - ES]"),"",IF(InterventionsTranslate="[Name]","",InterventionsTranslate))</f>
        <v>Administrative and finance data sources</v>
      </c>
      <c r="F66" s="53" t="s">
        <v>1346</v>
      </c>
      <c r="G66" s="54" t="s">
        <v>1337</v>
      </c>
      <c r="H66" s="53"/>
      <c r="I66" s="53" t="s">
        <v>720</v>
      </c>
      <c r="J66" s="53" t="s">
        <v>721</v>
      </c>
      <c r="K66" s="56" t="s">
        <v>1347</v>
      </c>
      <c r="L66" s="119" t="str">
        <f t="shared" si="0"/>
        <v>MCI-00203</v>
      </c>
      <c r="M66" s="119" t="str">
        <f>IFERROR(LOOKUP(2,1/(COUNTIF($M$10:M65,$E$12:$E$78)=0),$E$12:$E$78),IF($M$12=M65,"",IF(M65&lt;&gt;"",$M$12,"")))</f>
        <v>Key populations (TB/HIV) - Prisoners</v>
      </c>
      <c r="N66" s="119" t="b">
        <v>0</v>
      </c>
    </row>
    <row r="67" spans="1:14" x14ac:dyDescent="0.35">
      <c r="B67" s="56" t="s">
        <v>591</v>
      </c>
      <c r="C67" s="54" t="s">
        <v>1146</v>
      </c>
      <c r="D67" s="53"/>
      <c r="E67" s="119" t="str">
        <f>IF(OR(TranslatemoduleName="[Name - FR]",TranslatemoduleName="[Name - ES]"),"",IF(InterventionsTranslate="[Name]","",InterventionsTranslate))</f>
        <v>Vital registration system</v>
      </c>
      <c r="F67" s="53" t="s">
        <v>1348</v>
      </c>
      <c r="G67" s="54" t="s">
        <v>1337</v>
      </c>
      <c r="H67" s="53"/>
      <c r="I67" s="53" t="s">
        <v>722</v>
      </c>
      <c r="J67" s="53" t="s">
        <v>723</v>
      </c>
      <c r="K67" s="56" t="s">
        <v>1349</v>
      </c>
      <c r="L67" s="119" t="str">
        <f t="shared" si="0"/>
        <v>MCI-00204</v>
      </c>
      <c r="M67" s="119" t="str">
        <f>IFERROR(LOOKUP(2,1/(COUNTIF($M$10:M66,$E$12:$E$78)=0),$E$12:$E$78),IF($M$12=M66,"",IF(M66&lt;&gt;"",$M$12,"")))</f>
        <v>Other TB care and prevention intervention(s)</v>
      </c>
      <c r="N67" s="119" t="b">
        <v>0</v>
      </c>
    </row>
    <row r="68" spans="1:14" x14ac:dyDescent="0.35">
      <c r="B68" s="56" t="s">
        <v>1350</v>
      </c>
      <c r="C68" s="54" t="s">
        <v>1146</v>
      </c>
      <c r="D68" s="53"/>
      <c r="E68" s="119" t="str">
        <f>IF(OR(TranslatemoduleName="[Name - FR]",TranslatemoduleName="[Name - ES]"),"",IF(InterventionsTranslate="[Name]","",InterventionsTranslate))</f>
        <v>Other health information systems and M&amp;E intervention(s)</v>
      </c>
      <c r="F68" s="53" t="s">
        <v>1351</v>
      </c>
      <c r="G68" s="54" t="s">
        <v>1337</v>
      </c>
      <c r="H68" s="53"/>
      <c r="I68" s="53" t="s">
        <v>1352</v>
      </c>
      <c r="J68" s="53" t="s">
        <v>725</v>
      </c>
      <c r="K68" s="56" t="s">
        <v>1353</v>
      </c>
      <c r="L68" s="119" t="str">
        <f t="shared" si="0"/>
        <v>MCI-00205</v>
      </c>
      <c r="M68" s="119" t="str">
        <f>IFERROR(LOOKUP(2,1/(COUNTIF($M$10:M67,$E$12:$E$78)=0),$E$12:$E$78),IF($M$12=M67,"",IF(M67&lt;&gt;"",$M$12,"")))</f>
        <v>Collaborative activities with other programs and sectors (TB care and prevention)</v>
      </c>
      <c r="N68" s="119" t="b">
        <v>0</v>
      </c>
    </row>
    <row r="69" spans="1:14" x14ac:dyDescent="0.35">
      <c r="B69" s="56" t="s">
        <v>579</v>
      </c>
      <c r="C69" s="54" t="s">
        <v>1146</v>
      </c>
      <c r="D69" s="53"/>
      <c r="E69" s="119" t="str">
        <f>IF(OR(TranslatemoduleName="[Name - FR]",TranslatemoduleName="[Name - ES]"),"",IF(InterventionsTranslate="[Name]","",InterventionsTranslate))</f>
        <v>Program and data quality</v>
      </c>
      <c r="F69" s="53" t="s">
        <v>1354</v>
      </c>
      <c r="G69" s="54" t="s">
        <v>1337</v>
      </c>
      <c r="H69" s="53"/>
      <c r="I69" s="53" t="s">
        <v>714</v>
      </c>
      <c r="J69" s="53" t="s">
        <v>715</v>
      </c>
      <c r="K69" s="56" t="s">
        <v>1355</v>
      </c>
      <c r="L69" s="119" t="str">
        <f t="shared" si="0"/>
        <v>MCI-00600</v>
      </c>
      <c r="M69" s="119" t="str">
        <f>IFERROR(LOOKUP(2,1/(COUNTIF($M$10:M68,$E$12:$E$78)=0),$E$12:$E$78),IF($M$12=M68,"",IF(M68&lt;&gt;"",$M$12,"")))</f>
        <v>Key populations (TB care and prevention) - Others</v>
      </c>
      <c r="N69" s="119" t="b">
        <v>0</v>
      </c>
    </row>
    <row r="70" spans="1:14" x14ac:dyDescent="0.35">
      <c r="B70" s="56" t="s">
        <v>417</v>
      </c>
      <c r="C70" s="54" t="s">
        <v>1144</v>
      </c>
      <c r="D70" s="53"/>
      <c r="E70" s="119" t="str">
        <f>IF(OR(TranslatemoduleName="[Name - FR]",TranslatemoduleName="[Name - ES]"),"",IF(InterventionsTranslate="[Name]","",InterventionsTranslate))</f>
        <v>Policy, planning, coordination and management of national disease control programs</v>
      </c>
      <c r="F70" s="53" t="s">
        <v>1356</v>
      </c>
      <c r="G70" s="54" t="s">
        <v>1357</v>
      </c>
      <c r="H70" s="53"/>
      <c r="I70" s="53" t="s">
        <v>583</v>
      </c>
      <c r="J70" s="53" t="s">
        <v>764</v>
      </c>
      <c r="K70" s="56" t="s">
        <v>1358</v>
      </c>
      <c r="L70" s="119" t="str">
        <f t="shared" si="0"/>
        <v>MCI-00206</v>
      </c>
      <c r="M70" s="119" t="str">
        <f>IFERROR(LOOKUP(2,1/(COUNTIF($M$10:M69,$E$12:$E$78)=0),$E$12:$E$78),IF($M$12=M69,"",IF(M69&lt;&gt;"",$M$12,"")))</f>
        <v>Community TB care delivery</v>
      </c>
      <c r="N70" s="119" t="b">
        <v>0</v>
      </c>
    </row>
    <row r="71" spans="1:14" x14ac:dyDescent="0.35">
      <c r="B71" s="56" t="s">
        <v>420</v>
      </c>
      <c r="C71" s="54" t="s">
        <v>1144</v>
      </c>
      <c r="D71" s="53"/>
      <c r="E71" s="119" t="str">
        <f>IF(OR(TranslatemoduleName="[Name - FR]",TranslatemoduleName="[Name - ES]"),"",IF(InterventionsTranslate="[Name]","",InterventionsTranslate))</f>
        <v>Grant management</v>
      </c>
      <c r="F71" s="53" t="s">
        <v>1359</v>
      </c>
      <c r="G71" s="54" t="s">
        <v>1357</v>
      </c>
      <c r="H71" s="53"/>
      <c r="I71" s="53" t="s">
        <v>586</v>
      </c>
      <c r="J71" s="53" t="s">
        <v>587</v>
      </c>
      <c r="K71" s="56" t="s">
        <v>1360</v>
      </c>
      <c r="L71" s="119" t="str">
        <f t="shared" si="0"/>
        <v>MCI-00207</v>
      </c>
      <c r="M71" s="119" t="str">
        <f>IFERROR(LOOKUP(2,1/(COUNTIF($M$10:M70,$E$12:$E$78)=0),$E$12:$E$78),IF($M$12=M70,"",IF(M70&lt;&gt;"",$M$12,"")))</f>
        <v>Engaging all care providers (TB care and prevention)</v>
      </c>
      <c r="N71" s="119" t="b">
        <v>0</v>
      </c>
    </row>
    <row r="72" spans="1:14" x14ac:dyDescent="0.35">
      <c r="B72" s="56" t="s">
        <v>423</v>
      </c>
      <c r="C72" s="54" t="s">
        <v>1144</v>
      </c>
      <c r="D72" s="53"/>
      <c r="E72" s="119" t="str">
        <f>IF(OR(TranslatemoduleName="[Name - FR]",TranslatemoduleName="[Name - ES]"),"",IF(InterventionsTranslate="[Name]","",InterventionsTranslate))</f>
        <v>Other program management intervention(s)</v>
      </c>
      <c r="F72" s="53" t="s">
        <v>1361</v>
      </c>
      <c r="G72" s="54" t="s">
        <v>1357</v>
      </c>
      <c r="H72" s="53"/>
      <c r="I72" s="53" t="s">
        <v>1362</v>
      </c>
      <c r="J72" s="53" t="s">
        <v>1363</v>
      </c>
      <c r="K72" s="56" t="s">
        <v>1364</v>
      </c>
      <c r="L72" s="119" t="str">
        <f t="shared" si="0"/>
        <v>MCI-00209</v>
      </c>
      <c r="M72" s="119" t="str">
        <f>IFERROR(LOOKUP(2,1/(COUNTIF($M$10:M71,$E$12:$E$78)=0),$E$12:$E$78),IF($M$12=M71,"",IF(M71&lt;&gt;"",$M$12,"")))</f>
        <v>Prevention</v>
      </c>
      <c r="N72" s="119" t="b">
        <v>0</v>
      </c>
    </row>
    <row r="73" spans="1:14" x14ac:dyDescent="0.35">
      <c r="B73" s="56" t="s">
        <v>1149</v>
      </c>
      <c r="C73" s="54" t="s">
        <v>1150</v>
      </c>
      <c r="D73" s="53"/>
      <c r="E73" s="119" t="str">
        <f>IF(OR(TranslatemoduleName="[Name - FR]",TranslatemoduleName="[Name - ES]"),"",IF(InterventionsTranslate="[Name]","",InterventionsTranslate))</f>
        <v>Payment for results</v>
      </c>
      <c r="F73" s="53" t="s">
        <v>1365</v>
      </c>
      <c r="G73" s="54" t="s">
        <v>1366</v>
      </c>
      <c r="H73" s="53"/>
      <c r="I73" s="53" t="s">
        <v>1151</v>
      </c>
      <c r="J73" s="53" t="s">
        <v>1152</v>
      </c>
      <c r="K73" s="56" t="s">
        <v>1367</v>
      </c>
      <c r="L73" s="119" t="str">
        <f t="shared" si="0"/>
        <v>MCI-00210</v>
      </c>
      <c r="M73" s="119" t="str">
        <f>IFERROR(LOOKUP(2,1/(COUNTIF($M$10:M72,$E$12:$E$78)=0),$E$12:$E$78),IF($M$12=M72,"",IF(M72&lt;&gt;"",$M$12,"")))</f>
        <v>Treatment</v>
      </c>
      <c r="N73" s="119" t="b">
        <v>0</v>
      </c>
    </row>
    <row r="74" spans="1:14" x14ac:dyDescent="0.35">
      <c r="B74" s="56" t="s">
        <v>1368</v>
      </c>
      <c r="C74" s="54" t="s">
        <v>1173</v>
      </c>
      <c r="D74" s="53"/>
      <c r="E74" s="119" t="str">
        <f>IF(OR(TranslatemoduleName="[Name - FR]",TranslatemoduleName="[Name - ES]"),"",IF(InterventionsTranslate="[Name]","",InterventionsTranslate))</f>
        <v>National health strategies, alignment with disease-specific plans, health sector governance and financing</v>
      </c>
      <c r="F74" s="53" t="s">
        <v>1369</v>
      </c>
      <c r="G74" s="54" t="s">
        <v>1370</v>
      </c>
      <c r="H74" s="53"/>
      <c r="I74" s="53" t="s">
        <v>750</v>
      </c>
      <c r="J74" s="53" t="s">
        <v>1371</v>
      </c>
      <c r="K74" s="56" t="s">
        <v>1372</v>
      </c>
      <c r="L74" s="119" t="str">
        <f t="shared" si="0"/>
        <v>MCI-00611</v>
      </c>
      <c r="M74" s="119" t="str">
        <f>IFERROR(LOOKUP(2,1/(COUNTIF($M$10:M73,$E$12:$E$78)=0),$E$12:$E$78),IF($M$12=M73,"",IF(M73&lt;&gt;"",$M$12,"")))</f>
        <v>Case detection and diagnosis</v>
      </c>
      <c r="N74" s="119" t="b">
        <v>0</v>
      </c>
    </row>
    <row r="75" spans="1:14" x14ac:dyDescent="0.35">
      <c r="B75" s="56" t="s">
        <v>636</v>
      </c>
      <c r="C75" s="54" t="s">
        <v>1173</v>
      </c>
      <c r="D75" s="53"/>
      <c r="E75" s="119" t="str">
        <f>IF(OR(TranslatemoduleName="[Name - FR]",TranslatemoduleName="[Name - ES]"),"",IF(InterventionsTranslate="[Name]","",InterventionsTranslate))</f>
        <v>Other policy and governance intervention(s)</v>
      </c>
      <c r="F75" s="53" t="s">
        <v>1373</v>
      </c>
      <c r="G75" s="54" t="s">
        <v>1370</v>
      </c>
      <c r="H75" s="53"/>
      <c r="I75" s="53" t="s">
        <v>1374</v>
      </c>
      <c r="J75" s="53" t="s">
        <v>753</v>
      </c>
      <c r="K75" s="56" t="s">
        <v>1375</v>
      </c>
      <c r="L75" s="119" t="str">
        <f t="shared" si="0"/>
        <v>MCI-00612</v>
      </c>
      <c r="M75" s="119" t="str">
        <f>IFERROR(LOOKUP(2,1/(COUNTIF($M$10:M74,$E$12:$E$78)=0),$E$12:$E$78),IF($M$12=M74,"",IF(M74&lt;&gt;"",$M$12,"")))</f>
        <v>Removing human rights and gender related barriers to TB care and prevention</v>
      </c>
      <c r="N75" s="119" t="b">
        <v>0</v>
      </c>
    </row>
    <row r="76" spans="1:14" x14ac:dyDescent="0.35">
      <c r="B76" s="56" t="s">
        <v>1376</v>
      </c>
      <c r="C76" s="54" t="s">
        <v>1139</v>
      </c>
      <c r="D76" s="53"/>
      <c r="E76" s="119" t="str">
        <f>IF(OR(TranslatemoduleName="[Name - FR]",TranslatemoduleName="[Name - ES]"),"",IF(InterventionsTranslate="[Name]","",InterventionsTranslate))</f>
        <v>Risk mitigation for disease programs</v>
      </c>
      <c r="F76" s="53" t="s">
        <v>1377</v>
      </c>
      <c r="G76" s="54" t="s">
        <v>1378</v>
      </c>
      <c r="H76" s="53"/>
      <c r="I76" s="53" t="s">
        <v>1379</v>
      </c>
      <c r="J76" s="53" t="s">
        <v>1380</v>
      </c>
      <c r="K76" s="56" t="s">
        <v>1381</v>
      </c>
      <c r="L76" s="119" t="str">
        <f t="shared" si="0"/>
        <v>MCI-01235</v>
      </c>
      <c r="M76" s="119" t="str">
        <f>IFERROR(LOOKUP(2,1/(COUNTIF($M$10:M75,$E$12:$E$78)=0),$E$12:$E$78),IF($M$12=M75,"",IF(M75&lt;&gt;"",$M$12,"")))</f>
        <v>Key populations (TB care and prevention) - Prisoners</v>
      </c>
      <c r="N76" s="119" t="b">
        <v>0</v>
      </c>
    </row>
    <row r="77" spans="1:14" x14ac:dyDescent="0.35">
      <c r="B77" s="56" t="s">
        <v>1382</v>
      </c>
      <c r="C77" s="54" t="s">
        <v>1139</v>
      </c>
      <c r="D77" s="53"/>
      <c r="E77" s="119" t="str">
        <f>IF(OR(TranslatemoduleName="[Name - FR]",TranslatemoduleName="[Name - ES]"),"",IF(InterventionsTranslate="[Name]","",InterventionsTranslate))</f>
        <v>COVID-19 control and containment including health systems strengthening</v>
      </c>
      <c r="F77" s="53" t="s">
        <v>1383</v>
      </c>
      <c r="G77" s="54" t="s">
        <v>1378</v>
      </c>
      <c r="H77" s="53"/>
      <c r="I77" s="53" t="s">
        <v>1384</v>
      </c>
      <c r="J77" s="53" t="s">
        <v>1385</v>
      </c>
      <c r="K77" s="56" t="s">
        <v>1386</v>
      </c>
      <c r="L77" s="119" t="str">
        <f t="shared" ref="L77" si="1">F77</f>
        <v>MCI-01234</v>
      </c>
      <c r="M77" s="119" t="str">
        <f>IFERROR(LOOKUP(2,1/(COUNTIF($M$10:M76,$E$12:$E$78)=0),$E$12:$E$78),IF($M$12=M76,"",IF(M76&lt;&gt;"",$M$12,"")))</f>
        <v>COVID-19 control and containment including health systems strengthening</v>
      </c>
      <c r="N77" s="119" t="b">
        <v>0</v>
      </c>
    </row>
    <row r="78" spans="1:14" s="49" customFormat="1" x14ac:dyDescent="0.35">
      <c r="A78" s="60"/>
      <c r="B78" s="59"/>
      <c r="C78" s="59"/>
      <c r="D78" s="58"/>
      <c r="E78" s="59"/>
      <c r="F78" s="59"/>
      <c r="G78" s="59"/>
      <c r="H78" s="58"/>
      <c r="I78" s="58"/>
      <c r="J78" s="58"/>
      <c r="K78" s="58"/>
      <c r="M78" t="str">
        <f>IFERROR(LOOKUP(2,1/(COUNTIF($M$10:M12,$E$12:$E$78)=0),$E$12:$E$78),IF($M$12=M12,"",IF(M12&lt;&gt;"",$M$12,"")))</f>
        <v>Risk mitigation for disease programs</v>
      </c>
    </row>
    <row r="79" spans="1:14" s="49" customFormat="1" x14ac:dyDescent="0.35">
      <c r="A79" s="60"/>
      <c r="B79" s="59"/>
      <c r="C79" s="59"/>
      <c r="D79" s="58"/>
      <c r="E79" s="59"/>
      <c r="F79" s="59"/>
      <c r="G79" s="59"/>
      <c r="H79" s="58"/>
      <c r="I79" s="58"/>
      <c r="J79" s="58"/>
      <c r="K79" s="58"/>
      <c r="M79" t="str">
        <f>IFERROR(LOOKUP(2,1/(COUNTIF($M$10:M78,$E$12:$E$78)=0),$E$12:$E$78),IF($M$12=M78,"",IF(M78&lt;&gt;"",$M$12,"")))</f>
        <v>COVID-19 control and containment including health systems strengthening</v>
      </c>
    </row>
    <row r="80" spans="1:14" s="49" customFormat="1" x14ac:dyDescent="0.35">
      <c r="A80" s="60"/>
      <c r="B80" s="59"/>
      <c r="C80" s="59"/>
      <c r="D80" s="58"/>
      <c r="E80" s="59"/>
      <c r="F80" s="59"/>
      <c r="G80" s="59"/>
      <c r="H80" s="58"/>
      <c r="I80" s="58"/>
      <c r="J80" s="58"/>
      <c r="K80" s="58"/>
      <c r="M80" t="str">
        <f>IFERROR(LOOKUP(2,1/(COUNTIF($M$10:M79,$E$12:$E$78)=0),$E$12:$E$78),IF($M$12=M79,"",IF(M79&lt;&gt;"",$M$12,"")))</f>
        <v/>
      </c>
    </row>
    <row r="81" spans="1:13" s="49" customFormat="1" x14ac:dyDescent="0.35">
      <c r="A81" s="60"/>
      <c r="B81" s="59"/>
      <c r="C81" s="59"/>
      <c r="D81" s="58"/>
      <c r="E81" s="59"/>
      <c r="F81" s="59"/>
      <c r="G81" s="59"/>
      <c r="H81" s="58"/>
      <c r="I81" s="58"/>
      <c r="J81" s="58"/>
      <c r="K81" s="58"/>
      <c r="M81" t="str">
        <f>IFERROR(LOOKUP(2,1/(COUNTIF($M$10:M80,$E$12:$E$78)=0),$E$12:$E$78),IF($M$12=M80,"",IF(M80&lt;&gt;"",$M$12,"")))</f>
        <v/>
      </c>
    </row>
    <row r="82" spans="1:13" s="49" customFormat="1" x14ac:dyDescent="0.35">
      <c r="A82" s="60"/>
      <c r="B82" s="59"/>
      <c r="C82" s="59"/>
      <c r="D82" s="58"/>
      <c r="E82" s="59"/>
      <c r="F82" s="59"/>
      <c r="G82" s="59"/>
      <c r="H82" s="58"/>
      <c r="I82" s="58"/>
      <c r="J82" s="58"/>
      <c r="K82" s="58"/>
      <c r="M82" t="str">
        <f>IFERROR(LOOKUP(2,1/(COUNTIF($M$10:M81,$E$12:$E$78)=0),$E$12:$E$78),IF($M$12=M81,"",IF(M81&lt;&gt;"",$M$12,"")))</f>
        <v/>
      </c>
    </row>
    <row r="83" spans="1:13" s="49" customFormat="1" x14ac:dyDescent="0.35">
      <c r="A83" s="60"/>
      <c r="B83" s="59"/>
      <c r="C83" s="59"/>
      <c r="D83" s="58"/>
      <c r="E83" s="59"/>
      <c r="F83" s="59"/>
      <c r="G83" s="59"/>
      <c r="H83" s="58"/>
      <c r="I83" s="58"/>
      <c r="J83" s="58"/>
      <c r="K83" s="58"/>
      <c r="M83" t="str">
        <f>IFERROR(LOOKUP(2,1/(COUNTIF($M$10:M82,$E$12:$E$78)=0),$E$12:$E$78),IF($M$12=M82,"",IF(M82&lt;&gt;"",$M$12,"")))</f>
        <v/>
      </c>
    </row>
    <row r="84" spans="1:13" s="49" customFormat="1" x14ac:dyDescent="0.35">
      <c r="A84" s="60"/>
      <c r="B84" s="59"/>
      <c r="C84" s="59"/>
      <c r="D84" s="58"/>
      <c r="E84" s="59"/>
      <c r="F84" s="59"/>
      <c r="G84" s="59"/>
      <c r="H84" s="58"/>
      <c r="I84" s="58"/>
      <c r="J84" s="58"/>
      <c r="K84" s="58"/>
      <c r="M84" t="str">
        <f>IFERROR(LOOKUP(2,1/(COUNTIF($M$10:M83,$E$12:$E$78)=0),$E$12:$E$78),IF($M$12=M83,"",IF(M83&lt;&gt;"",$M$12,"")))</f>
        <v/>
      </c>
    </row>
    <row r="85" spans="1:13" s="49" customFormat="1" x14ac:dyDescent="0.35">
      <c r="A85" s="60"/>
      <c r="B85" s="59"/>
      <c r="C85" s="59"/>
      <c r="D85" s="58"/>
      <c r="E85" s="59"/>
      <c r="F85" s="59"/>
      <c r="G85" s="59"/>
      <c r="H85" s="58"/>
      <c r="I85" s="58"/>
      <c r="J85" s="58"/>
      <c r="K85" s="58"/>
      <c r="M85" t="str">
        <f>IFERROR(LOOKUP(2,1/(COUNTIF($M$10:M84,$E$12:$E$78)=0),$E$12:$E$78),IF($M$12=M84,"",IF(M84&lt;&gt;"",$M$12,"")))</f>
        <v/>
      </c>
    </row>
    <row r="86" spans="1:13" s="49" customFormat="1" x14ac:dyDescent="0.35">
      <c r="A86" s="60"/>
      <c r="B86" s="59"/>
      <c r="C86" s="59"/>
      <c r="D86" s="58"/>
      <c r="E86" s="59"/>
      <c r="F86" s="59"/>
      <c r="G86" s="59"/>
      <c r="H86" s="58"/>
      <c r="I86" s="58"/>
      <c r="J86" s="58"/>
      <c r="K86" s="58"/>
      <c r="M86" t="str">
        <f>IFERROR(LOOKUP(2,1/(COUNTIF($M$10:M85,$E$12:$E$78)=0),$E$12:$E$78),IF($M$12=M85,"",IF(M85&lt;&gt;"",$M$12,"")))</f>
        <v/>
      </c>
    </row>
    <row r="87" spans="1:13" s="49" customFormat="1" x14ac:dyDescent="0.35">
      <c r="A87" s="60"/>
      <c r="B87" s="59"/>
      <c r="C87" s="59"/>
      <c r="D87" s="58"/>
      <c r="E87" s="59"/>
      <c r="F87" s="59"/>
      <c r="G87" s="59"/>
      <c r="H87" s="58"/>
      <c r="I87" s="58"/>
      <c r="J87" s="58"/>
      <c r="K87" s="58"/>
      <c r="M87" t="str">
        <f>IFERROR(LOOKUP(2,1/(COUNTIF($M$10:M86,$E$12:$E$78)=0),$E$12:$E$78),IF($M$12=M86,"",IF(M86&lt;&gt;"",$M$12,"")))</f>
        <v/>
      </c>
    </row>
    <row r="88" spans="1:13" s="49" customFormat="1" x14ac:dyDescent="0.35">
      <c r="A88" s="60"/>
      <c r="B88" s="59"/>
      <c r="C88" s="59"/>
      <c r="D88" s="58"/>
      <c r="E88" s="59"/>
      <c r="F88" s="59"/>
      <c r="G88" s="59"/>
      <c r="H88" s="58"/>
      <c r="I88" s="58"/>
      <c r="J88" s="58"/>
      <c r="K88" s="58"/>
      <c r="M88" t="str">
        <f>IFERROR(LOOKUP(2,1/(COUNTIF($M$10:M87,$E$12:$E$78)=0),$E$12:$E$78),IF($M$12=M87,"",IF(M87&lt;&gt;"",$M$12,"")))</f>
        <v/>
      </c>
    </row>
    <row r="89" spans="1:13" s="49" customFormat="1" x14ac:dyDescent="0.35">
      <c r="A89" s="60"/>
      <c r="B89" s="59"/>
      <c r="C89" s="59"/>
      <c r="D89" s="58"/>
      <c r="E89" s="59"/>
      <c r="F89" s="59"/>
      <c r="G89" s="59"/>
      <c r="H89" s="58"/>
      <c r="I89" s="58"/>
      <c r="J89" s="58"/>
      <c r="K89" s="58"/>
      <c r="M89" t="str">
        <f>IFERROR(LOOKUP(2,1/(COUNTIF($M$10:M88,$E$12:$E$78)=0),$E$12:$E$78),IF($M$12=M88,"",IF(M88&lt;&gt;"",$M$12,"")))</f>
        <v/>
      </c>
    </row>
    <row r="90" spans="1:13" s="49" customFormat="1" x14ac:dyDescent="0.35">
      <c r="A90" s="60"/>
      <c r="B90" s="59"/>
      <c r="C90" s="59"/>
      <c r="D90" s="58"/>
      <c r="E90" s="59"/>
      <c r="F90" s="59"/>
      <c r="G90" s="59"/>
      <c r="H90" s="58"/>
      <c r="I90" s="58"/>
      <c r="J90" s="58"/>
      <c r="K90" s="58"/>
      <c r="M90" t="str">
        <f>IFERROR(LOOKUP(2,1/(COUNTIF($M$10:M89,$E$12:$E$78)=0),$E$12:$E$78),IF($M$12=M89,"",IF(M89&lt;&gt;"",$M$12,"")))</f>
        <v/>
      </c>
    </row>
    <row r="91" spans="1:13" s="49" customFormat="1" x14ac:dyDescent="0.35">
      <c r="A91" s="60"/>
      <c r="B91" s="59"/>
      <c r="C91" s="59"/>
      <c r="D91" s="58"/>
      <c r="E91" s="59"/>
      <c r="F91" s="59"/>
      <c r="G91" s="59"/>
      <c r="H91" s="58"/>
      <c r="I91" s="58"/>
      <c r="J91" s="58"/>
      <c r="K91" s="58"/>
      <c r="M91" t="str">
        <f>IFERROR(LOOKUP(2,1/(COUNTIF($M$10:M90,$E$12:$E$78)=0),$E$12:$E$78),IF($M$12=M90,"",IF(M90&lt;&gt;"",$M$12,"")))</f>
        <v/>
      </c>
    </row>
    <row r="92" spans="1:13" s="49" customFormat="1" x14ac:dyDescent="0.35">
      <c r="A92" s="60"/>
      <c r="B92" s="59"/>
      <c r="C92" s="59"/>
      <c r="D92" s="58"/>
      <c r="E92" s="59"/>
      <c r="F92" s="59"/>
      <c r="G92" s="59"/>
      <c r="H92" s="58"/>
      <c r="I92" s="58"/>
      <c r="J92" s="58"/>
      <c r="K92" s="58"/>
      <c r="M92" t="str">
        <f>IFERROR(LOOKUP(2,1/(COUNTIF($M$10:M91,$E$12:$E$78)=0),$E$12:$E$78),IF($M$12=M91,"",IF(M91&lt;&gt;"",$M$12,"")))</f>
        <v/>
      </c>
    </row>
    <row r="93" spans="1:13" s="49" customFormat="1" x14ac:dyDescent="0.35">
      <c r="A93" s="60"/>
      <c r="B93" s="59"/>
      <c r="C93" s="59"/>
      <c r="D93" s="58"/>
      <c r="E93" s="59"/>
      <c r="F93" s="59"/>
      <c r="G93" s="59"/>
      <c r="H93" s="58"/>
      <c r="I93" s="58"/>
      <c r="J93" s="58"/>
      <c r="K93" s="58"/>
      <c r="M93" t="str">
        <f>IFERROR(LOOKUP(2,1/(COUNTIF($M$10:M92,$E$12:$E$78)=0),$E$12:$E$78),IF($M$12=M92,"",IF(M92&lt;&gt;"",$M$12,"")))</f>
        <v/>
      </c>
    </row>
    <row r="94" spans="1:13" s="49" customFormat="1" x14ac:dyDescent="0.35">
      <c r="A94" s="60"/>
      <c r="B94" s="59"/>
      <c r="C94" s="59"/>
      <c r="D94" s="58"/>
      <c r="E94" s="59"/>
      <c r="F94" s="59"/>
      <c r="G94" s="59"/>
      <c r="H94" s="58"/>
      <c r="I94" s="58"/>
      <c r="J94" s="58"/>
      <c r="K94" s="58"/>
      <c r="M94" t="str">
        <f>IFERROR(LOOKUP(2,1/(COUNTIF($M$10:M93,$E$12:$E$78)=0),$E$12:$E$78),IF($M$12=M93,"",IF(M93&lt;&gt;"",$M$12,"")))</f>
        <v/>
      </c>
    </row>
    <row r="95" spans="1:13" s="49" customFormat="1" x14ac:dyDescent="0.35">
      <c r="A95" s="60"/>
      <c r="B95" s="59"/>
      <c r="C95" s="59"/>
      <c r="D95" s="58"/>
      <c r="E95" s="59"/>
      <c r="F95" s="59"/>
      <c r="G95" s="59"/>
      <c r="H95" s="58"/>
      <c r="I95" s="58"/>
      <c r="J95" s="58"/>
      <c r="K95" s="58"/>
      <c r="M95" t="str">
        <f>IFERROR(LOOKUP(2,1/(COUNTIF($M$10:M94,$E$12:$E$78)=0),$E$12:$E$78),IF($M$12=M94,"",IF(M94&lt;&gt;"",$M$12,"")))</f>
        <v/>
      </c>
    </row>
    <row r="96" spans="1:13" s="49" customFormat="1" x14ac:dyDescent="0.35">
      <c r="A96" s="60"/>
      <c r="B96" s="59"/>
      <c r="C96" s="59"/>
      <c r="D96" s="58"/>
      <c r="E96" s="59"/>
      <c r="F96" s="59"/>
      <c r="G96" s="59"/>
      <c r="H96" s="58"/>
      <c r="I96" s="58"/>
      <c r="J96" s="58"/>
      <c r="K96" s="58"/>
      <c r="M96" t="str">
        <f>IFERROR(LOOKUP(2,1/(COUNTIF($M$10:M95,$E$12:$E$78)=0),$E$12:$E$78),IF($M$12=M95,"",IF(M95&lt;&gt;"",$M$12,"")))</f>
        <v/>
      </c>
    </row>
    <row r="97" spans="1:13" s="49" customFormat="1" x14ac:dyDescent="0.35">
      <c r="A97" s="60"/>
      <c r="B97" s="59"/>
      <c r="C97" s="59"/>
      <c r="D97" s="58"/>
      <c r="E97" s="59"/>
      <c r="F97" s="59"/>
      <c r="G97" s="59"/>
      <c r="H97" s="58"/>
      <c r="I97" s="58"/>
      <c r="J97" s="58"/>
      <c r="K97" s="58"/>
      <c r="M97" t="str">
        <f>IFERROR(LOOKUP(2,1/(COUNTIF($M$10:M96,$E$12:$E$78)=0),$E$12:$E$78),IF($M$12=M96,"",IF(M96&lt;&gt;"",$M$12,"")))</f>
        <v/>
      </c>
    </row>
    <row r="98" spans="1:13" s="49" customFormat="1" x14ac:dyDescent="0.35">
      <c r="A98" s="60"/>
      <c r="B98" s="59"/>
      <c r="C98" s="59"/>
      <c r="D98" s="58"/>
      <c r="E98" s="59"/>
      <c r="F98" s="59"/>
      <c r="G98" s="59"/>
      <c r="H98" s="58"/>
      <c r="I98" s="58"/>
      <c r="J98" s="58"/>
      <c r="K98" s="58"/>
      <c r="M98" t="str">
        <f>IFERROR(LOOKUP(2,1/(COUNTIF($M$10:M97,$E$12:$E$78)=0),$E$12:$E$78),IF($M$12=M97,"",IF(M97&lt;&gt;"",$M$12,"")))</f>
        <v/>
      </c>
    </row>
    <row r="99" spans="1:13" s="49" customFormat="1" x14ac:dyDescent="0.35">
      <c r="A99" s="60"/>
      <c r="B99" s="59"/>
      <c r="C99" s="59"/>
      <c r="D99" s="58"/>
      <c r="E99" s="59"/>
      <c r="F99" s="59"/>
      <c r="G99" s="59"/>
      <c r="H99" s="58"/>
      <c r="I99" s="58"/>
      <c r="J99" s="58"/>
      <c r="K99" s="58"/>
      <c r="M99" t="str">
        <f>IFERROR(LOOKUP(2,1/(COUNTIF($M$10:M98,$E$12:$E$78)=0),$E$12:$E$78),IF($M$12=M98,"",IF(M98&lt;&gt;"",$M$12,"")))</f>
        <v/>
      </c>
    </row>
    <row r="100" spans="1:13" s="49" customFormat="1" x14ac:dyDescent="0.35">
      <c r="A100" s="60"/>
      <c r="B100" s="59"/>
      <c r="C100" s="59"/>
      <c r="D100" s="58"/>
      <c r="E100" s="59"/>
      <c r="F100" s="59"/>
      <c r="G100" s="59"/>
      <c r="H100" s="58"/>
      <c r="I100" s="58"/>
      <c r="J100" s="58"/>
      <c r="K100" s="58"/>
      <c r="M100" t="str">
        <f>IFERROR(LOOKUP(2,1/(COUNTIF($M$10:M99,$E$12:$E$78)=0),$E$12:$E$78),IF($M$12=M99,"",IF(M99&lt;&gt;"",$M$12,"")))</f>
        <v/>
      </c>
    </row>
    <row r="101" spans="1:13" s="49" customFormat="1" x14ac:dyDescent="0.35">
      <c r="A101" s="60"/>
      <c r="B101" s="59"/>
      <c r="C101" s="59"/>
      <c r="D101" s="58"/>
      <c r="E101" s="59"/>
      <c r="F101" s="59"/>
      <c r="G101" s="59"/>
      <c r="H101" s="58"/>
      <c r="I101" s="58"/>
      <c r="J101" s="58"/>
      <c r="K101" s="58"/>
      <c r="M101" t="str">
        <f>IFERROR(LOOKUP(2,1/(COUNTIF($M$10:M100,$E$12:$E$78)=0),$E$12:$E$78),IF($M$12=M100,"",IF(M100&lt;&gt;"",$M$12,"")))</f>
        <v/>
      </c>
    </row>
    <row r="102" spans="1:13" s="49" customFormat="1" x14ac:dyDescent="0.35">
      <c r="A102" s="60"/>
      <c r="B102" s="59"/>
      <c r="C102" s="59"/>
      <c r="D102" s="58"/>
      <c r="E102" s="59"/>
      <c r="F102" s="59"/>
      <c r="G102" s="59"/>
      <c r="H102" s="58"/>
      <c r="I102" s="58"/>
      <c r="J102" s="58"/>
      <c r="K102" s="58"/>
      <c r="M102" t="str">
        <f>IFERROR(LOOKUP(2,1/(COUNTIF($M$10:M101,$E$12:$E$78)=0),$E$12:$E$78),IF($M$12=M101,"",IF(M101&lt;&gt;"",$M$12,"")))</f>
        <v/>
      </c>
    </row>
    <row r="103" spans="1:13" s="49" customFormat="1" x14ac:dyDescent="0.35">
      <c r="A103" s="60"/>
      <c r="B103" s="59"/>
      <c r="C103" s="59"/>
      <c r="D103" s="58"/>
      <c r="E103" s="59"/>
      <c r="F103" s="59"/>
      <c r="G103" s="59"/>
      <c r="H103" s="58"/>
      <c r="I103" s="58"/>
      <c r="J103" s="58"/>
      <c r="K103" s="58"/>
      <c r="M103" t="str">
        <f>IFERROR(LOOKUP(2,1/(COUNTIF($M$10:M102,$E$12:$E$78)=0),$E$12:$E$78),IF($M$12=M102,"",IF(M102&lt;&gt;"",$M$12,"")))</f>
        <v/>
      </c>
    </row>
    <row r="104" spans="1:13" s="49" customFormat="1" x14ac:dyDescent="0.35">
      <c r="A104" s="60"/>
      <c r="B104" s="59"/>
      <c r="C104" s="59"/>
      <c r="D104" s="58"/>
      <c r="E104" s="59"/>
      <c r="F104" s="59"/>
      <c r="G104" s="59"/>
      <c r="H104" s="58"/>
      <c r="I104" s="58"/>
      <c r="J104" s="58"/>
      <c r="K104" s="58"/>
      <c r="M104" t="str">
        <f>IFERROR(LOOKUP(2,1/(COUNTIF($M$10:M103,$E$12:$E$78)=0),$E$12:$E$78),IF($M$12=M103,"",IF(M103&lt;&gt;"",$M$12,"")))</f>
        <v/>
      </c>
    </row>
    <row r="105" spans="1:13" s="49" customFormat="1" x14ac:dyDescent="0.35">
      <c r="A105" s="60"/>
      <c r="B105" s="59"/>
      <c r="C105" s="59"/>
      <c r="D105" s="58"/>
      <c r="E105" s="59"/>
      <c r="F105" s="59"/>
      <c r="G105" s="59"/>
      <c r="H105" s="58"/>
      <c r="I105" s="58"/>
      <c r="J105" s="58"/>
      <c r="K105" s="58"/>
      <c r="M105" t="str">
        <f>IFERROR(LOOKUP(2,1/(COUNTIF($M$10:M104,$E$12:$E$78)=0),$E$12:$E$78),IF($M$12=M104,"",IF(M104&lt;&gt;"",$M$12,"")))</f>
        <v/>
      </c>
    </row>
    <row r="106" spans="1:13" s="49" customFormat="1" x14ac:dyDescent="0.35">
      <c r="A106" s="60"/>
      <c r="B106" s="59"/>
      <c r="C106" s="59"/>
      <c r="D106" s="58"/>
      <c r="E106" s="59"/>
      <c r="F106" s="59"/>
      <c r="G106" s="59"/>
      <c r="H106" s="58"/>
      <c r="I106" s="58"/>
      <c r="J106" s="58"/>
      <c r="K106" s="58"/>
      <c r="M106" t="str">
        <f>IFERROR(LOOKUP(2,1/(COUNTIF($M$10:M105,$E$12:$E$78)=0),$E$12:$E$78),IF($M$12=M105,"",IF(M105&lt;&gt;"",$M$12,"")))</f>
        <v/>
      </c>
    </row>
    <row r="107" spans="1:13" s="49" customFormat="1" x14ac:dyDescent="0.35">
      <c r="A107" s="60"/>
      <c r="B107" s="59"/>
      <c r="C107" s="59"/>
      <c r="D107" s="58"/>
      <c r="E107" s="59"/>
      <c r="F107" s="59"/>
      <c r="G107" s="59"/>
      <c r="H107" s="58"/>
      <c r="I107" s="58"/>
      <c r="J107" s="58"/>
      <c r="K107" s="58"/>
      <c r="M107" t="str">
        <f>IFERROR(LOOKUP(2,1/(COUNTIF($M$10:M106,$E$12:$E$78)=0),$E$12:$E$78),IF($M$12=M106,"",IF(M106&lt;&gt;"",$M$12,"")))</f>
        <v/>
      </c>
    </row>
    <row r="108" spans="1:13" s="49" customFormat="1" x14ac:dyDescent="0.35">
      <c r="A108" s="60"/>
      <c r="B108" s="59"/>
      <c r="C108" s="59"/>
      <c r="D108" s="58"/>
      <c r="E108" s="59"/>
      <c r="F108" s="59"/>
      <c r="G108" s="59"/>
      <c r="H108" s="58"/>
      <c r="I108" s="58"/>
      <c r="J108" s="58"/>
      <c r="K108" s="58"/>
      <c r="M108" t="str">
        <f>IFERROR(LOOKUP(2,1/(COUNTIF($M$10:M107,$E$12:$E$78)=0),$E$12:$E$78),IF($M$12=M107,"",IF(M107&lt;&gt;"",$M$12,"")))</f>
        <v/>
      </c>
    </row>
    <row r="109" spans="1:13" s="49" customFormat="1" x14ac:dyDescent="0.35">
      <c r="A109" s="60"/>
      <c r="B109" s="59"/>
      <c r="C109" s="59"/>
      <c r="D109" s="58"/>
      <c r="E109" s="59"/>
      <c r="F109" s="59"/>
      <c r="G109" s="59"/>
      <c r="H109" s="58"/>
      <c r="I109" s="58"/>
      <c r="J109" s="58"/>
      <c r="K109" s="58"/>
      <c r="M109" t="str">
        <f>IFERROR(LOOKUP(2,1/(COUNTIF($M$10:M108,$E$12:$E$78)=0),$E$12:$E$78),IF($M$12=M108,"",IF(M108&lt;&gt;"",$M$12,"")))</f>
        <v/>
      </c>
    </row>
    <row r="110" spans="1:13" s="49" customFormat="1" x14ac:dyDescent="0.35">
      <c r="A110" s="60"/>
      <c r="B110" s="59"/>
      <c r="C110" s="59"/>
      <c r="D110" s="58"/>
      <c r="E110" s="59"/>
      <c r="F110" s="59"/>
      <c r="G110" s="59"/>
      <c r="H110" s="58"/>
      <c r="I110" s="58"/>
      <c r="J110" s="58"/>
      <c r="K110" s="58"/>
      <c r="M110" t="str">
        <f>IFERROR(LOOKUP(2,1/(COUNTIF($M$10:M109,$E$12:$E$78)=0),$E$12:$E$78),IF($M$12=M109,"",IF(M109&lt;&gt;"",$M$12,"")))</f>
        <v/>
      </c>
    </row>
    <row r="111" spans="1:13" s="49" customFormat="1" x14ac:dyDescent="0.35">
      <c r="A111" s="60"/>
      <c r="B111" s="59"/>
      <c r="C111" s="59"/>
      <c r="D111" s="58"/>
      <c r="E111" s="59"/>
      <c r="F111" s="59"/>
      <c r="G111" s="59"/>
      <c r="H111" s="58"/>
      <c r="I111" s="58"/>
      <c r="J111" s="58"/>
      <c r="K111" s="58"/>
      <c r="M111" t="str">
        <f>IFERROR(LOOKUP(2,1/(COUNTIF($M$10:M110,$E$12:$E$78)=0),$E$12:$E$78),IF($M$12=M110,"",IF(M110&lt;&gt;"",$M$12,"")))</f>
        <v/>
      </c>
    </row>
    <row r="112" spans="1:13" s="49" customFormat="1" x14ac:dyDescent="0.35">
      <c r="A112" s="60"/>
      <c r="B112" s="59"/>
      <c r="C112" s="59"/>
      <c r="D112" s="58"/>
      <c r="E112" s="59"/>
      <c r="F112" s="59"/>
      <c r="G112" s="59"/>
      <c r="H112" s="58"/>
      <c r="I112" s="58"/>
      <c r="J112" s="58"/>
      <c r="K112" s="58"/>
      <c r="M112" t="str">
        <f>IFERROR(LOOKUP(2,1/(COUNTIF($M$10:M111,$E$12:$E$78)=0),$E$12:$E$78),IF($M$12=M111,"",IF(M111&lt;&gt;"",$M$12,"")))</f>
        <v/>
      </c>
    </row>
    <row r="113" spans="1:13" s="49" customFormat="1" x14ac:dyDescent="0.35">
      <c r="A113" s="60"/>
      <c r="B113" s="59"/>
      <c r="C113" s="59"/>
      <c r="D113" s="58"/>
      <c r="E113" s="59"/>
      <c r="F113" s="59"/>
      <c r="G113" s="59"/>
      <c r="H113" s="58"/>
      <c r="I113" s="58"/>
      <c r="J113" s="58"/>
      <c r="K113" s="58"/>
      <c r="M113" t="str">
        <f>IFERROR(LOOKUP(2,1/(COUNTIF($M$10:M112,$E$12:$E$78)=0),$E$12:$E$78),IF($M$12=M112,"",IF(M112&lt;&gt;"",$M$12,"")))</f>
        <v/>
      </c>
    </row>
    <row r="114" spans="1:13" s="49" customFormat="1" x14ac:dyDescent="0.35">
      <c r="A114" s="60"/>
      <c r="B114" s="59"/>
      <c r="C114" s="59"/>
      <c r="D114" s="58"/>
      <c r="E114" s="59"/>
      <c r="F114" s="59"/>
      <c r="G114" s="59"/>
      <c r="H114" s="58"/>
      <c r="I114" s="58"/>
      <c r="J114" s="58"/>
      <c r="K114" s="58"/>
      <c r="M114" t="str">
        <f>IFERROR(LOOKUP(2,1/(COUNTIF($M$10:M113,$E$12:$E$78)=0),$E$12:$E$78),IF($M$12=M113,"",IF(M113&lt;&gt;"",$M$12,"")))</f>
        <v/>
      </c>
    </row>
    <row r="115" spans="1:13" s="49" customFormat="1" x14ac:dyDescent="0.35">
      <c r="A115" s="60"/>
      <c r="B115" s="59"/>
      <c r="C115" s="59"/>
      <c r="D115" s="58"/>
      <c r="E115" s="59"/>
      <c r="F115" s="59"/>
      <c r="G115" s="59"/>
      <c r="H115" s="58"/>
      <c r="I115" s="58"/>
      <c r="J115" s="58"/>
      <c r="K115" s="58"/>
      <c r="M115" t="str">
        <f>IFERROR(LOOKUP(2,1/(COUNTIF($M$10:M114,$E$12:$E$78)=0),$E$12:$E$78),IF($M$12=M114,"",IF(M114&lt;&gt;"",$M$12,"")))</f>
        <v/>
      </c>
    </row>
    <row r="116" spans="1:13" s="49" customFormat="1" x14ac:dyDescent="0.35">
      <c r="A116" s="60"/>
      <c r="B116" s="59"/>
      <c r="C116" s="59"/>
      <c r="D116" s="58"/>
      <c r="E116" s="59"/>
      <c r="F116" s="59"/>
      <c r="G116" s="59"/>
      <c r="H116" s="58"/>
      <c r="I116" s="58"/>
      <c r="J116" s="58"/>
      <c r="K116" s="58"/>
      <c r="M116" t="str">
        <f>IFERROR(LOOKUP(2,1/(COUNTIF($M$10:M115,$E$12:$E$78)=0),$E$12:$E$78),IF($M$12=M115,"",IF(M115&lt;&gt;"",$M$12,"")))</f>
        <v/>
      </c>
    </row>
    <row r="117" spans="1:13" s="49" customFormat="1" x14ac:dyDescent="0.35">
      <c r="A117" s="60"/>
      <c r="B117" s="59"/>
      <c r="C117" s="59"/>
      <c r="D117" s="58"/>
      <c r="E117" s="59"/>
      <c r="F117" s="59"/>
      <c r="G117" s="59"/>
      <c r="H117" s="58"/>
      <c r="I117" s="58"/>
      <c r="J117" s="58"/>
      <c r="K117" s="58"/>
      <c r="M117" t="str">
        <f>IFERROR(LOOKUP(2,1/(COUNTIF($M$10:M116,$E$12:$E$78)=0),$E$12:$E$78),IF($M$12=M116,"",IF(M116&lt;&gt;"",$M$12,"")))</f>
        <v/>
      </c>
    </row>
    <row r="118" spans="1:13" s="49" customFormat="1" x14ac:dyDescent="0.35">
      <c r="A118" s="60"/>
      <c r="B118" s="59"/>
      <c r="C118" s="59"/>
      <c r="D118" s="58"/>
      <c r="E118" s="59"/>
      <c r="F118" s="59"/>
      <c r="G118" s="59"/>
      <c r="H118" s="58"/>
      <c r="I118" s="58"/>
      <c r="J118" s="58"/>
      <c r="K118" s="58"/>
      <c r="M118" t="str">
        <f>IFERROR(LOOKUP(2,1/(COUNTIF($M$10:M117,$E$12:$E$78)=0),$E$12:$E$78),IF($M$12=M117,"",IF(M117&lt;&gt;"",$M$12,"")))</f>
        <v/>
      </c>
    </row>
    <row r="119" spans="1:13" s="49" customFormat="1" x14ac:dyDescent="0.35">
      <c r="A119" s="60"/>
      <c r="B119" s="59"/>
      <c r="C119" s="59"/>
      <c r="D119" s="58"/>
      <c r="E119" s="59"/>
      <c r="F119" s="59"/>
      <c r="G119" s="59"/>
      <c r="H119" s="58"/>
      <c r="I119" s="58"/>
      <c r="J119" s="58"/>
      <c r="K119" s="58"/>
      <c r="M119" t="str">
        <f>IFERROR(LOOKUP(2,1/(COUNTIF($M$10:M118,$E$12:$E$78)=0),$E$12:$E$78),IF($M$12=M118,"",IF(M118&lt;&gt;"",$M$12,"")))</f>
        <v/>
      </c>
    </row>
    <row r="120" spans="1:13" s="49" customFormat="1" x14ac:dyDescent="0.35">
      <c r="A120" s="60"/>
      <c r="B120" s="59"/>
      <c r="C120" s="59"/>
      <c r="D120" s="58"/>
      <c r="E120" s="59"/>
      <c r="F120" s="59"/>
      <c r="G120" s="59"/>
      <c r="H120" s="58"/>
      <c r="I120" s="58"/>
      <c r="J120" s="58"/>
      <c r="K120" s="58"/>
      <c r="M120" t="str">
        <f>IFERROR(LOOKUP(2,1/(COUNTIF($M$10:M119,$E$12:$E$78)=0),$E$12:$E$78),IF($M$12=M119,"",IF(M119&lt;&gt;"",$M$12,"")))</f>
        <v/>
      </c>
    </row>
    <row r="121" spans="1:13" s="49" customFormat="1" x14ac:dyDescent="0.35">
      <c r="A121" s="60"/>
      <c r="B121" s="59"/>
      <c r="C121" s="59"/>
      <c r="D121" s="58"/>
      <c r="E121" s="59"/>
      <c r="F121" s="59"/>
      <c r="G121" s="59"/>
      <c r="H121" s="58"/>
      <c r="I121" s="58"/>
      <c r="J121" s="58"/>
      <c r="K121" s="58"/>
      <c r="M121" t="str">
        <f>IFERROR(LOOKUP(2,1/(COUNTIF($M$10:M120,$E$12:$E$78)=0),$E$12:$E$78),IF($M$12=M120,"",IF(M120&lt;&gt;"",$M$12,"")))</f>
        <v/>
      </c>
    </row>
    <row r="122" spans="1:13" s="49" customFormat="1" x14ac:dyDescent="0.35">
      <c r="A122" s="60"/>
      <c r="B122" s="59"/>
      <c r="C122" s="59"/>
      <c r="D122" s="58"/>
      <c r="E122" s="59"/>
      <c r="F122" s="59"/>
      <c r="G122" s="59"/>
      <c r="H122" s="58"/>
      <c r="I122" s="58"/>
      <c r="J122" s="58"/>
      <c r="K122" s="58"/>
      <c r="M122" t="str">
        <f>IFERROR(LOOKUP(2,1/(COUNTIF($M$10:M121,$E$12:$E$78)=0),$E$12:$E$78),IF($M$12=M121,"",IF(M121&lt;&gt;"",$M$12,"")))</f>
        <v/>
      </c>
    </row>
    <row r="123" spans="1:13" s="49" customFormat="1" x14ac:dyDescent="0.35">
      <c r="A123" s="60"/>
      <c r="B123" s="59"/>
      <c r="C123" s="59"/>
      <c r="D123" s="58"/>
      <c r="E123" s="59"/>
      <c r="F123" s="59"/>
      <c r="G123" s="59"/>
      <c r="H123" s="58"/>
      <c r="I123" s="58"/>
      <c r="J123" s="58"/>
      <c r="K123" s="58"/>
      <c r="M123" t="str">
        <f>IFERROR(LOOKUP(2,1/(COUNTIF($M$10:M122,$E$12:$E$78)=0),$E$12:$E$78),IF($M$12=M122,"",IF(M122&lt;&gt;"",$M$12,"")))</f>
        <v/>
      </c>
    </row>
    <row r="124" spans="1:13" s="49" customFormat="1" x14ac:dyDescent="0.35">
      <c r="A124" s="60"/>
      <c r="B124" s="59"/>
      <c r="C124" s="59"/>
      <c r="D124" s="58"/>
      <c r="E124" s="59"/>
      <c r="F124" s="59"/>
      <c r="G124" s="59"/>
      <c r="H124" s="58"/>
      <c r="I124" s="58"/>
      <c r="J124" s="58"/>
      <c r="K124" s="58"/>
      <c r="M124" t="str">
        <f>IFERROR(LOOKUP(2,1/(COUNTIF($M$10:M123,$E$12:$E$78)=0),$E$12:$E$78),IF($M$12=M123,"",IF(M123&lt;&gt;"",$M$12,"")))</f>
        <v/>
      </c>
    </row>
    <row r="125" spans="1:13" s="49" customFormat="1" x14ac:dyDescent="0.35">
      <c r="A125" s="60"/>
      <c r="B125" s="59"/>
      <c r="C125" s="59"/>
      <c r="D125" s="58"/>
      <c r="E125" s="59"/>
      <c r="F125" s="59"/>
      <c r="G125" s="59"/>
      <c r="H125" s="58"/>
      <c r="I125" s="58"/>
      <c r="J125" s="58"/>
      <c r="K125" s="58"/>
      <c r="M125" t="str">
        <f>IFERROR(LOOKUP(2,1/(COUNTIF($M$10:M124,$E$12:$E$78)=0),$E$12:$E$78),IF($M$12=M124,"",IF(M124&lt;&gt;"",$M$12,"")))</f>
        <v/>
      </c>
    </row>
    <row r="126" spans="1:13" s="49" customFormat="1" x14ac:dyDescent="0.35">
      <c r="A126" s="60"/>
      <c r="B126" s="59"/>
      <c r="C126" s="59"/>
      <c r="D126" s="58"/>
      <c r="E126" s="59"/>
      <c r="F126" s="59"/>
      <c r="G126" s="59"/>
      <c r="H126" s="58"/>
      <c r="I126" s="58"/>
      <c r="J126" s="58"/>
      <c r="K126" s="58"/>
      <c r="M126" t="str">
        <f>IFERROR(LOOKUP(2,1/(COUNTIF($M$10:M125,$E$12:$E$78)=0),$E$12:$E$78),IF($M$12=M125,"",IF(M125&lt;&gt;"",$M$12,"")))</f>
        <v/>
      </c>
    </row>
    <row r="127" spans="1:13" s="49" customFormat="1" x14ac:dyDescent="0.35">
      <c r="A127" s="60"/>
      <c r="B127" s="59"/>
      <c r="C127" s="59"/>
      <c r="D127" s="58"/>
      <c r="E127" s="59"/>
      <c r="F127" s="59"/>
      <c r="G127" s="59"/>
      <c r="H127" s="58"/>
      <c r="I127" s="58"/>
      <c r="J127" s="58"/>
      <c r="K127" s="58"/>
      <c r="M127" t="str">
        <f>IFERROR(LOOKUP(2,1/(COUNTIF($M$10:M126,$E$12:$E$78)=0),$E$12:$E$78),IF($M$12=M126,"",IF(M126&lt;&gt;"",$M$12,"")))</f>
        <v/>
      </c>
    </row>
    <row r="128" spans="1:13" s="49" customFormat="1" x14ac:dyDescent="0.35">
      <c r="A128" s="60"/>
      <c r="B128" s="59"/>
      <c r="C128" s="59"/>
      <c r="D128" s="58"/>
      <c r="E128" s="59"/>
      <c r="F128" s="59"/>
      <c r="G128" s="59"/>
      <c r="H128" s="58"/>
      <c r="I128" s="58"/>
      <c r="J128" s="58"/>
      <c r="K128" s="58"/>
      <c r="M128" t="str">
        <f>IFERROR(LOOKUP(2,1/(COUNTIF($M$10:M127,$E$12:$E$78)=0),$E$12:$E$78),IF($M$12=M127,"",IF(M127&lt;&gt;"",$M$12,"")))</f>
        <v/>
      </c>
    </row>
    <row r="129" spans="1:13" s="49" customFormat="1" x14ac:dyDescent="0.35">
      <c r="A129" s="60"/>
      <c r="B129" s="59"/>
      <c r="C129" s="59"/>
      <c r="D129" s="58"/>
      <c r="E129" s="59"/>
      <c r="F129" s="59"/>
      <c r="G129" s="59"/>
      <c r="H129" s="58"/>
      <c r="I129" s="58"/>
      <c r="J129" s="58"/>
      <c r="K129" s="58"/>
      <c r="M129" t="str">
        <f>IFERROR(LOOKUP(2,1/(COUNTIF($M$10:M128,$E$12:$E$78)=0),$E$12:$E$78),IF($M$12=M128,"",IF(M128&lt;&gt;"",$M$12,"")))</f>
        <v/>
      </c>
    </row>
    <row r="130" spans="1:13" s="49" customFormat="1" x14ac:dyDescent="0.35">
      <c r="A130" s="60"/>
      <c r="B130" s="59"/>
      <c r="C130" s="59"/>
      <c r="D130" s="58"/>
      <c r="E130" s="59"/>
      <c r="F130" s="59"/>
      <c r="G130" s="59"/>
      <c r="H130" s="58"/>
      <c r="I130" s="58"/>
      <c r="J130" s="58"/>
      <c r="K130" s="58"/>
      <c r="M130" t="str">
        <f>IFERROR(LOOKUP(2,1/(COUNTIF($M$10:M129,$E$12:$E$78)=0),$E$12:$E$78),IF($M$12=M129,"",IF(M129&lt;&gt;"",$M$12,"")))</f>
        <v/>
      </c>
    </row>
    <row r="131" spans="1:13" s="49" customFormat="1" x14ac:dyDescent="0.35">
      <c r="A131" s="60"/>
      <c r="B131" s="59"/>
      <c r="C131" s="59"/>
      <c r="D131" s="58"/>
      <c r="E131" s="59"/>
      <c r="F131" s="59"/>
      <c r="G131" s="59"/>
      <c r="H131" s="58"/>
      <c r="I131" s="58"/>
      <c r="J131" s="58"/>
      <c r="K131" s="58"/>
      <c r="M131" t="str">
        <f>IFERROR(LOOKUP(2,1/(COUNTIF($M$10:M130,$E$12:$E$78)=0),$E$12:$E$78),IF($M$12=M130,"",IF(M130&lt;&gt;"",$M$12,"")))</f>
        <v/>
      </c>
    </row>
    <row r="132" spans="1:13" s="49" customFormat="1" x14ac:dyDescent="0.35">
      <c r="A132" s="60"/>
      <c r="B132" s="59"/>
      <c r="C132" s="59"/>
      <c r="D132" s="58"/>
      <c r="E132" s="59"/>
      <c r="F132" s="59"/>
      <c r="G132" s="59"/>
      <c r="H132" s="58"/>
      <c r="I132" s="58"/>
      <c r="J132" s="58"/>
      <c r="K132" s="58"/>
      <c r="M132" t="str">
        <f>IFERROR(LOOKUP(2,1/(COUNTIF($M$10:M131,$E$12:$E$78)=0),$E$12:$E$78),IF($M$12=M131,"",IF(M131&lt;&gt;"",$M$12,"")))</f>
        <v/>
      </c>
    </row>
    <row r="133" spans="1:13" s="49" customFormat="1" x14ac:dyDescent="0.35">
      <c r="A133" s="60"/>
      <c r="B133" s="59"/>
      <c r="C133" s="59"/>
      <c r="D133" s="58"/>
      <c r="E133" s="59"/>
      <c r="F133" s="59"/>
      <c r="G133" s="59"/>
      <c r="H133" s="58"/>
      <c r="I133" s="58"/>
      <c r="J133" s="58"/>
      <c r="K133" s="58"/>
      <c r="M133" t="str">
        <f>IFERROR(LOOKUP(2,1/(COUNTIF($M$10:M132,$E$12:$E$78)=0),$E$12:$E$78),IF($M$12=M132,"",IF(M132&lt;&gt;"",$M$12,"")))</f>
        <v/>
      </c>
    </row>
    <row r="134" spans="1:13" s="49" customFormat="1" x14ac:dyDescent="0.35">
      <c r="A134" s="60"/>
      <c r="B134" s="59"/>
      <c r="C134" s="59"/>
      <c r="D134" s="58"/>
      <c r="E134" s="59"/>
      <c r="F134" s="59"/>
      <c r="G134" s="59"/>
      <c r="H134" s="58"/>
      <c r="I134" s="58"/>
      <c r="J134" s="58"/>
      <c r="K134" s="58"/>
      <c r="M134" t="str">
        <f>IFERROR(LOOKUP(2,1/(COUNTIF($M$10:M133,$E$12:$E$78)=0),$E$12:$E$78),IF($M$12=M133,"",IF(M133&lt;&gt;"",$M$12,"")))</f>
        <v/>
      </c>
    </row>
    <row r="135" spans="1:13" s="49" customFormat="1" x14ac:dyDescent="0.35">
      <c r="A135" s="60"/>
      <c r="B135" s="59"/>
      <c r="C135" s="59"/>
      <c r="D135" s="58"/>
      <c r="E135" s="59"/>
      <c r="F135" s="59"/>
      <c r="G135" s="59"/>
      <c r="H135" s="58"/>
      <c r="I135" s="58"/>
      <c r="J135" s="58"/>
      <c r="K135" s="58"/>
      <c r="M135" t="str">
        <f>IFERROR(LOOKUP(2,1/(COUNTIF($M$10:M134,$E$12:$E$78)=0),$E$12:$E$78),IF($M$12=M134,"",IF(M134&lt;&gt;"",$M$12,"")))</f>
        <v/>
      </c>
    </row>
    <row r="136" spans="1:13" s="49" customFormat="1" x14ac:dyDescent="0.35">
      <c r="A136" s="60"/>
      <c r="B136" s="59"/>
      <c r="C136" s="59"/>
      <c r="D136" s="58"/>
      <c r="E136" s="59"/>
      <c r="F136" s="59"/>
      <c r="G136" s="59"/>
      <c r="H136" s="58"/>
      <c r="I136" s="58"/>
      <c r="J136" s="58"/>
      <c r="K136" s="58"/>
      <c r="M136" t="str">
        <f>IFERROR(LOOKUP(2,1/(COUNTIF($M$10:M135,$E$12:$E$78)=0),$E$12:$E$78),IF($M$12=M135,"",IF(M135&lt;&gt;"",$M$12,"")))</f>
        <v/>
      </c>
    </row>
    <row r="137" spans="1:13" s="49" customFormat="1" x14ac:dyDescent="0.35">
      <c r="A137" s="60"/>
      <c r="B137" s="59"/>
      <c r="C137" s="59"/>
      <c r="D137" s="58"/>
      <c r="E137" s="59"/>
      <c r="F137" s="59"/>
      <c r="G137" s="59"/>
      <c r="H137" s="58"/>
      <c r="I137" s="58"/>
      <c r="J137" s="58"/>
      <c r="K137" s="58"/>
      <c r="M137" t="str">
        <f>IFERROR(LOOKUP(2,1/(COUNTIF($M$10:M136,$E$12:$E$78)=0),$E$12:$E$78),IF($M$12=M136,"",IF(M136&lt;&gt;"",$M$12,"")))</f>
        <v/>
      </c>
    </row>
    <row r="138" spans="1:13" s="49" customFormat="1" x14ac:dyDescent="0.35">
      <c r="A138" s="60"/>
      <c r="B138" s="59"/>
      <c r="C138" s="59"/>
      <c r="D138" s="58"/>
      <c r="E138" s="59"/>
      <c r="F138" s="59"/>
      <c r="G138" s="59"/>
      <c r="H138" s="58"/>
      <c r="I138" s="58"/>
      <c r="J138" s="58"/>
      <c r="K138" s="58"/>
      <c r="M138" t="str">
        <f>IFERROR(LOOKUP(2,1/(COUNTIF($M$10:M137,$E$12:$E$78)=0),$E$12:$E$78),IF($M$12=M137,"",IF(M137&lt;&gt;"",$M$12,"")))</f>
        <v/>
      </c>
    </row>
    <row r="139" spans="1:13" s="49" customFormat="1" x14ac:dyDescent="0.35">
      <c r="A139" s="60"/>
      <c r="B139" s="59"/>
      <c r="C139" s="59"/>
      <c r="D139" s="58"/>
      <c r="E139" s="59"/>
      <c r="F139" s="59"/>
      <c r="G139" s="59"/>
      <c r="H139" s="58"/>
      <c r="I139" s="58"/>
      <c r="J139" s="58"/>
      <c r="K139" s="58"/>
      <c r="M139" t="str">
        <f>IFERROR(LOOKUP(2,1/(COUNTIF($M$10:M138,$E$12:$E$78)=0),$E$12:$E$78),IF($M$12=M138,"",IF(M138&lt;&gt;"",$M$12,"")))</f>
        <v/>
      </c>
    </row>
    <row r="140" spans="1:13" s="49" customFormat="1" x14ac:dyDescent="0.35">
      <c r="A140" s="60"/>
      <c r="B140" s="59"/>
      <c r="C140" s="59"/>
      <c r="D140" s="58"/>
      <c r="E140" s="59"/>
      <c r="F140" s="59"/>
      <c r="G140" s="59"/>
      <c r="H140" s="58"/>
      <c r="I140" s="58"/>
      <c r="J140" s="58"/>
      <c r="K140" s="58"/>
      <c r="M140" t="str">
        <f>IFERROR(LOOKUP(2,1/(COUNTIF($M$10:M139,$E$12:$E$78)=0),$E$12:$E$78),IF($M$12=M139,"",IF(M139&lt;&gt;"",$M$12,"")))</f>
        <v/>
      </c>
    </row>
    <row r="141" spans="1:13" x14ac:dyDescent="0.35">
      <c r="C141" s="49"/>
      <c r="D141" s="49"/>
      <c r="E141" s="49"/>
      <c r="F141" s="49"/>
      <c r="G141" s="49"/>
      <c r="H141" s="49"/>
      <c r="I141" s="49"/>
      <c r="J141" s="49"/>
      <c r="M141" t="str">
        <f>IFERROR(LOOKUP(2,1/(COUNTIF($M$10:M140,$E$12:$E$78)=0),$E$12:$E$78),IF($M$12=M140,"",IF(M140&lt;&gt;"",$M$12,"")))</f>
        <v/>
      </c>
    </row>
    <row r="142" spans="1:13" x14ac:dyDescent="0.35">
      <c r="M142" t="str">
        <f>IFERROR(LOOKUP(2,1/(COUNTIF($M$10:M141,$E$12:$E$78)=0),$E$12:$E$78),IF($M$12=M141,"",IF(M141&lt;&gt;"",$M$12,"")))</f>
        <v/>
      </c>
    </row>
    <row r="143" spans="1:13" x14ac:dyDescent="0.35">
      <c r="M143" t="str">
        <f>IFERROR(LOOKUP(2,1/(COUNTIF($M$10:M142,$E$12:$E$78)=0),$E$12:$E$78),IF($M$12=M142,"",IF(M142&lt;&gt;"",$M$12,"")))</f>
        <v/>
      </c>
    </row>
    <row r="144" spans="1:13" x14ac:dyDescent="0.35">
      <c r="M144" t="str">
        <f>IFERROR(LOOKUP(2,1/(COUNTIF($M$10:M143,$E$12:$E$78)=0),$E$12:$E$78),IF($M$12=M143,"",IF(M143&lt;&gt;"",$M$12,"")))</f>
        <v/>
      </c>
    </row>
    <row r="145" spans="13:13" x14ac:dyDescent="0.35">
      <c r="M145" t="str">
        <f>IFERROR(LOOKUP(2,1/(COUNTIF($M$10:M144,$E$12:$E$78)=0),$E$12:$E$78),IF($M$12=M144,"",IF(M144&lt;&gt;"",$M$12,"")))</f>
        <v/>
      </c>
    </row>
    <row r="146" spans="13:13" x14ac:dyDescent="0.35">
      <c r="M146" t="str">
        <f>IFERROR(LOOKUP(2,1/(COUNTIF($M$10:M145,$E$12:$E$78)=0),$E$12:$E$78),IF($M$12=M145,"",IF(M145&lt;&gt;"",$M$12,"")))</f>
        <v/>
      </c>
    </row>
    <row r="147" spans="13:13" x14ac:dyDescent="0.35">
      <c r="M147" t="str">
        <f>IFERROR(LOOKUP(2,1/(COUNTIF($M$10:M146,$E$12:$E$78)=0),$E$12:$E$78),IF($M$12=M146,"",IF(M146&lt;&gt;"",$M$12,"")))</f>
        <v/>
      </c>
    </row>
    <row r="148" spans="13:13" x14ac:dyDescent="0.35">
      <c r="M148" t="str">
        <f>IFERROR(LOOKUP(2,1/(COUNTIF($M$10:M147,$E$12:$E$78)=0),$E$12:$E$78),IF($M$12=M147,"",IF(M147&lt;&gt;"",$M$12,"")))</f>
        <v/>
      </c>
    </row>
    <row r="149" spans="13:13" x14ac:dyDescent="0.35">
      <c r="M149" t="str">
        <f>IFERROR(LOOKUP(2,1/(COUNTIF($M$10:M148,$E$12:$E$78)=0),$E$12:$E$78),IF($M$12=M148,"",IF(M148&lt;&gt;"",$M$12,"")))</f>
        <v/>
      </c>
    </row>
    <row r="150" spans="13:13" x14ac:dyDescent="0.35">
      <c r="M150" t="str">
        <f>IFERROR(LOOKUP(2,1/(COUNTIF($M$10:M149,$E$12:$E$78)=0),$E$12:$E$78),IF($M$12=M149,"",IF(M149&lt;&gt;"",$M$12,"")))</f>
        <v/>
      </c>
    </row>
    <row r="151" spans="13:13" x14ac:dyDescent="0.35">
      <c r="M151" t="str">
        <f>IFERROR(LOOKUP(2,1/(COUNTIF($M$10:M150,$E$12:$E$78)=0),$E$12:$E$78),IF($M$12=M150,"",IF(M150&lt;&gt;"",$M$12,"")))</f>
        <v/>
      </c>
    </row>
    <row r="152" spans="13:13" x14ac:dyDescent="0.35">
      <c r="M152" t="str">
        <f>IFERROR(LOOKUP(2,1/(COUNTIF($M$10:M151,$E$12:$E$78)=0),$E$12:$E$78),IF($M$12=M151,"",IF(M151&lt;&gt;"",$M$12,"")))</f>
        <v/>
      </c>
    </row>
    <row r="153" spans="13:13" x14ac:dyDescent="0.35">
      <c r="M153" t="str">
        <f>IFERROR(LOOKUP(2,1/(COUNTIF($M$10:M152,$E$12:$E$78)=0),$E$12:$E$78),IF($M$12=M152,"",IF(M152&lt;&gt;"",$M$12,"")))</f>
        <v/>
      </c>
    </row>
    <row r="154" spans="13:13" x14ac:dyDescent="0.35">
      <c r="M154" t="str">
        <f>IFERROR(LOOKUP(2,1/(COUNTIF($M$10:M153,$E$12:$E$78)=0),$E$12:$E$78),IF($M$12=M153,"",IF(M153&lt;&gt;"",$M$12,"")))</f>
        <v/>
      </c>
    </row>
    <row r="155" spans="13:13" x14ac:dyDescent="0.35">
      <c r="M155" t="str">
        <f>IFERROR(LOOKUP(2,1/(COUNTIF($M$10:M154,$E$12:$E$78)=0),$E$12:$E$78),IF($M$12=M154,"",IF(M154&lt;&gt;"",$M$12,"")))</f>
        <v/>
      </c>
    </row>
    <row r="156" spans="13:13" x14ac:dyDescent="0.35">
      <c r="M156" t="str">
        <f>IFERROR(LOOKUP(2,1/(COUNTIF($M$10:M155,$E$12:$E$78)=0),$E$12:$E$78),IF($M$12=M155,"",IF(M155&lt;&gt;"",$M$12,"")))</f>
        <v/>
      </c>
    </row>
    <row r="157" spans="13:13" x14ac:dyDescent="0.35">
      <c r="M157" t="str">
        <f>IFERROR(LOOKUP(2,1/(COUNTIF($M$10:M156,$E$12:$E$78)=0),$E$12:$E$78),IF($M$12=M156,"",IF(M156&lt;&gt;"",$M$12,"")))</f>
        <v/>
      </c>
    </row>
    <row r="158" spans="13:13" x14ac:dyDescent="0.35">
      <c r="M158" t="str">
        <f>IFERROR(LOOKUP(2,1/(COUNTIF($M$10:M157,$E$12:$E$78)=0),$E$12:$E$78),IF($M$12=M157,"",IF(M157&lt;&gt;"",$M$12,"")))</f>
        <v/>
      </c>
    </row>
    <row r="159" spans="13:13" x14ac:dyDescent="0.35">
      <c r="M159" t="str">
        <f>IFERROR(LOOKUP(2,1/(COUNTIF($M$10:M158,$E$12:$E$78)=0),$E$12:$E$78),IF($M$12=M158,"",IF(M158&lt;&gt;"",$M$12,"")))</f>
        <v/>
      </c>
    </row>
    <row r="160" spans="13:13" x14ac:dyDescent="0.35">
      <c r="M160" t="str">
        <f>IFERROR(LOOKUP(2,1/(COUNTIF($M$10:M159,$E$12:$E$78)=0),$E$12:$E$78),IF($M$12=M159,"",IF(M159&lt;&gt;"",$M$12,"")))</f>
        <v/>
      </c>
    </row>
    <row r="161" spans="13:13" x14ac:dyDescent="0.35">
      <c r="M161" t="str">
        <f>IFERROR(LOOKUP(2,1/(COUNTIF($M$10:M160,$E$12:$E$78)=0),$E$12:$E$78),IF($M$12=M160,"",IF(M160&lt;&gt;"",$M$12,"")))</f>
        <v/>
      </c>
    </row>
    <row r="162" spans="13:13" x14ac:dyDescent="0.35">
      <c r="M162" t="str">
        <f>IFERROR(LOOKUP(2,1/(COUNTIF($M$10:M161,$E$12:$E$78)=0),$E$12:$E$78),IF($M$12=M161,"",IF(M161&lt;&gt;"",$M$12,"")))</f>
        <v/>
      </c>
    </row>
    <row r="163" spans="13:13" x14ac:dyDescent="0.35">
      <c r="M163" t="str">
        <f>IFERROR(LOOKUP(2,1/(COUNTIF($M$10:M162,$E$12:$E$78)=0),$E$12:$E$78),IF($M$12=M162,"",IF(M162&lt;&gt;"",$M$12,"")))</f>
        <v/>
      </c>
    </row>
    <row r="164" spans="13:13" x14ac:dyDescent="0.35">
      <c r="M164" t="str">
        <f>IFERROR(LOOKUP(2,1/(COUNTIF($M$10:M163,$E$12:$E$78)=0),$E$12:$E$78),IF($M$12=M163,"",IF(M163&lt;&gt;"",$M$12,"")))</f>
        <v/>
      </c>
    </row>
    <row r="165" spans="13:13" x14ac:dyDescent="0.35">
      <c r="M165" t="str">
        <f>IFERROR(LOOKUP(2,1/(COUNTIF($M$10:M164,$E$12:$E$78)=0),$E$12:$E$78),IF($M$12=M164,"",IF(M164&lt;&gt;"",$M$12,"")))</f>
        <v/>
      </c>
    </row>
    <row r="166" spans="13:13" x14ac:dyDescent="0.35">
      <c r="M166" t="str">
        <f>IFERROR(LOOKUP(2,1/(COUNTIF($M$10:M165,$E$12:$E$78)=0),$E$12:$E$78),IF($M$12=M165,"",IF(M165&lt;&gt;"",$M$12,"")))</f>
        <v/>
      </c>
    </row>
    <row r="167" spans="13:13" x14ac:dyDescent="0.35">
      <c r="M167" t="str">
        <f>IFERROR(LOOKUP(2,1/(COUNTIF($M$10:M166,$E$12:$E$78)=0),$E$12:$E$78),IF($M$12=M166,"",IF(M166&lt;&gt;"",$M$12,"")))</f>
        <v/>
      </c>
    </row>
    <row r="168" spans="13:13" x14ac:dyDescent="0.35">
      <c r="M168" t="str">
        <f>IFERROR(LOOKUP(2,1/(COUNTIF($M$10:M167,$E$12:$E$78)=0),$E$12:$E$78),IF($M$12=M167,"",IF(M167&lt;&gt;"",$M$12,"")))</f>
        <v/>
      </c>
    </row>
    <row r="169" spans="13:13" x14ac:dyDescent="0.35">
      <c r="M169" t="str">
        <f>IFERROR(LOOKUP(2,1/(COUNTIF($M$10:M168,$E$12:$E$78)=0),$E$12:$E$78),IF($M$12=M168,"",IF(M168&lt;&gt;"",$M$12,"")))</f>
        <v/>
      </c>
    </row>
    <row r="170" spans="13:13" x14ac:dyDescent="0.35">
      <c r="M170" t="str">
        <f>IFERROR(LOOKUP(2,1/(COUNTIF($M$10:M169,$E$12:$E$78)=0),$E$12:$E$78),IF($M$12=M169,"",IF(M169&lt;&gt;"",$M$12,"")))</f>
        <v/>
      </c>
    </row>
    <row r="171" spans="13:13" x14ac:dyDescent="0.35">
      <c r="M171" t="str">
        <f>IFERROR(LOOKUP(2,1/(COUNTIF($M$10:M170,$E$12:$E$78)=0),$E$12:$E$78),IF($M$12=M170,"",IF(M170&lt;&gt;"",$M$12,"")))</f>
        <v/>
      </c>
    </row>
    <row r="172" spans="13:13" x14ac:dyDescent="0.35">
      <c r="M172" t="str">
        <f>IFERROR(LOOKUP(2,1/(COUNTIF($M$10:M171,$E$12:$E$78)=0),$E$12:$E$78),IF($M$12=M171,"",IF(M171&lt;&gt;"",$M$12,"")))</f>
        <v/>
      </c>
    </row>
    <row r="173" spans="13:13" x14ac:dyDescent="0.35">
      <c r="M173" t="str">
        <f>IFERROR(LOOKUP(2,1/(COUNTIF($M$10:M172,$E$12:$E$78)=0),$E$12:$E$78),IF($M$12=M172,"",IF(M172&lt;&gt;"",$M$12,"")))</f>
        <v/>
      </c>
    </row>
    <row r="174" spans="13:13" x14ac:dyDescent="0.35">
      <c r="M174" t="str">
        <f>IFERROR(LOOKUP(2,1/(COUNTIF($M$10:M173,$E$12:$E$78)=0),$E$12:$E$78),IF($M$12=M173,"",IF(M173&lt;&gt;"",$M$12,"")))</f>
        <v/>
      </c>
    </row>
    <row r="175" spans="13:13" x14ac:dyDescent="0.35">
      <c r="M175" t="str">
        <f>IFERROR(LOOKUP(2,1/(COUNTIF($M$10:M174,$E$12:$E$78)=0),$E$12:$E$78),IF($M$12=M174,"",IF(M174&lt;&gt;"",$M$12,"")))</f>
        <v/>
      </c>
    </row>
    <row r="176" spans="13:13" x14ac:dyDescent="0.35">
      <c r="M176" t="str">
        <f>IFERROR(LOOKUP(2,1/(COUNTIF($M$10:M175,$E$12:$E$78)=0),$E$12:$E$78),IF($M$12=M175,"",IF(M175&lt;&gt;"",$M$12,"")))</f>
        <v/>
      </c>
    </row>
    <row r="177" spans="13:13" x14ac:dyDescent="0.35">
      <c r="M177" t="str">
        <f>IFERROR(LOOKUP(2,1/(COUNTIF($M$10:M176,$E$12:$E$78)=0),$E$12:$E$78),IF($M$12=M176,"",IF(M176&lt;&gt;"",$M$12,"")))</f>
        <v/>
      </c>
    </row>
    <row r="178" spans="13:13" x14ac:dyDescent="0.35">
      <c r="M178" t="str">
        <f>IFERROR(LOOKUP(2,1/(COUNTIF($M$10:M177,$E$12:$E$78)=0),$E$12:$E$78),IF($M$12=M177,"",IF(M177&lt;&gt;"",$M$12,"")))</f>
        <v/>
      </c>
    </row>
    <row r="179" spans="13:13" x14ac:dyDescent="0.35">
      <c r="M179" t="str">
        <f>IFERROR(LOOKUP(2,1/(COUNTIF($M$9:M177,$E$12:$E$78)=0),$E$12:$E$78),IF($M$12=M178,"",IF(M178&lt;&gt;"",$M$12,"")))</f>
        <v/>
      </c>
    </row>
    <row r="180" spans="13:13" x14ac:dyDescent="0.35">
      <c r="M180" t="str">
        <f>IFERROR(LOOKUP(2,1/(COUNTIF($M$9:M178,$E$12:$E$78)=0),$E$12:$E$78),IF($M$12=M179,"",IF(M179&lt;&gt;"",$M$12,"")))</f>
        <v/>
      </c>
    </row>
    <row r="181" spans="13:13" x14ac:dyDescent="0.35">
      <c r="M181" t="str">
        <f>IFERROR(LOOKUP(2,1/(COUNTIF($M$9:M179,$E$12:$E$78)=0),$E$12:$E$78),IF($M$12=M180,"",IF(M180&lt;&gt;"",$M$12,"")))</f>
        <v/>
      </c>
    </row>
    <row r="182" spans="13:13" x14ac:dyDescent="0.35">
      <c r="M182" t="str">
        <f>IFERROR(LOOKUP(2,1/(COUNTIF($M$9:M180,$E$12:$E$78)=0),$E$12:$E$78),IF($M$12=M181,"",IF(M181&lt;&gt;"",$M$12,"")))</f>
        <v/>
      </c>
    </row>
    <row r="183" spans="13:13" x14ac:dyDescent="0.35">
      <c r="M183" t="str">
        <f>IFERROR(LOOKUP(2,1/(COUNTIF($M$9:M181,$E$12:$E$78)=0),$E$12:$E$78),IF($M$12=M182,"",IF(M182&lt;&gt;"",$M$12,"")))</f>
        <v/>
      </c>
    </row>
    <row r="184" spans="13:13" x14ac:dyDescent="0.35">
      <c r="M184" t="str">
        <f>IFERROR(LOOKUP(2,1/(COUNTIF($M$9:M182,$E$12:$E$78)=0),$E$12:$E$78),IF($M$12=M183,"",IF(M183&lt;&gt;"",$M$12,"")))</f>
        <v/>
      </c>
    </row>
    <row r="185" spans="13:13" x14ac:dyDescent="0.35">
      <c r="M185" t="str">
        <f>IFERROR(LOOKUP(2,1/(COUNTIF($M$9:M183,$E$12:$E$78)=0),$E$12:$E$78),IF($M$12=M184,"",IF(M184&lt;&gt;"",$M$12,"")))</f>
        <v/>
      </c>
    </row>
    <row r="186" spans="13:13" x14ac:dyDescent="0.35">
      <c r="M186" t="str">
        <f>IFERROR(LOOKUP(2,1/(COUNTIF($M$9:M184,$E$12:$E$78)=0),$E$12:$E$78),IF($M$12=M185,"",IF(M185&lt;&gt;"",$M$12,"")))</f>
        <v/>
      </c>
    </row>
    <row r="187" spans="13:13" x14ac:dyDescent="0.35">
      <c r="M187" t="str">
        <f>IFERROR(LOOKUP(2,1/(COUNTIF($M$9:M185,$E$12:$E$78)=0),$E$12:$E$78),IF($M$12=M186,"",IF(M186&lt;&gt;"",$M$12,"")))</f>
        <v/>
      </c>
    </row>
    <row r="188" spans="13:13" x14ac:dyDescent="0.35">
      <c r="M188" t="str">
        <f>IFERROR(LOOKUP(2,1/(COUNTIF($M$9:M186,$E$12:$E$78)=0),$E$12:$E$78),IF($M$12=M187,"",IF(M187&lt;&gt;"",$M$12,"")))</f>
        <v/>
      </c>
    </row>
    <row r="189" spans="13:13" x14ac:dyDescent="0.35">
      <c r="M189" t="str">
        <f>IFERROR(LOOKUP(2,1/(COUNTIF($M$9:M187,$E$12:$E$78)=0),$E$12:$E$78),IF($M$12=M188,"",IF(M188&lt;&gt;"",$M$12,"")))</f>
        <v/>
      </c>
    </row>
    <row r="190" spans="13:13" x14ac:dyDescent="0.35">
      <c r="M190" t="str">
        <f>IFERROR(LOOKUP(2,1/(COUNTIF($M$9:M188,$E$12:$E$78)=0),$E$12:$E$78),IF($M$12=M189,"",IF(M189&lt;&gt;"",$M$12,"")))</f>
        <v/>
      </c>
    </row>
    <row r="191" spans="13:13" x14ac:dyDescent="0.35">
      <c r="M191" t="str">
        <f>IFERROR(LOOKUP(2,1/(COUNTIF($M$9:M189,$E$12:$E$78)=0),$E$12:$E$78),IF($M$12=M190,"",IF(M190&lt;&gt;"",$M$12,"")))</f>
        <v/>
      </c>
    </row>
    <row r="192" spans="13:13" x14ac:dyDescent="0.35">
      <c r="M192" t="str">
        <f>IFERROR(LOOKUP(2,1/(COUNTIF($M$9:M190,$E$12:$E$78)=0),$E$12:$E$78),IF($M$12=M191,"",IF(M191&lt;&gt;"",$M$12,"")))</f>
        <v/>
      </c>
    </row>
    <row r="193" spans="13:13" x14ac:dyDescent="0.35">
      <c r="M193" t="str">
        <f>IFERROR(LOOKUP(2,1/(COUNTIF($M$9:M191,$E$12:$E$78)=0),$E$12:$E$78),IF($M$12=M192,"",IF(M192&lt;&gt;"",$M$12,"")))</f>
        <v/>
      </c>
    </row>
    <row r="194" spans="13:13" x14ac:dyDescent="0.35">
      <c r="M194" t="str">
        <f>IFERROR(LOOKUP(2,1/(COUNTIF($M$9:M192,$E$12:$E$78)=0),$E$12:$E$78),IF($M$12=M193,"",IF(M193&lt;&gt;"",$M$12,"")))</f>
        <v/>
      </c>
    </row>
    <row r="195" spans="13:13" x14ac:dyDescent="0.35">
      <c r="M195" t="str">
        <f>IFERROR(LOOKUP(2,1/(COUNTIF($M$9:M193,$E$12:$E$78)=0),$E$12:$E$78),IF($M$12=M194,"",IF(M194&lt;&gt;"",$M$12,"")))</f>
        <v/>
      </c>
    </row>
    <row r="196" spans="13:13" x14ac:dyDescent="0.35">
      <c r="M196" t="str">
        <f>IFERROR(LOOKUP(2,1/(COUNTIF($M$9:M194,$E$12:$E$78)=0),$E$12:$E$78),IF($M$12=M195,"",IF(M195&lt;&gt;"",$M$12,"")))</f>
        <v/>
      </c>
    </row>
    <row r="197" spans="13:13" x14ac:dyDescent="0.35">
      <c r="M197" t="str">
        <f>IFERROR(LOOKUP(2,1/(COUNTIF($M$9:M195,$E$12:$E$78)=0),$E$12:$E$78),IF($M$12=M196,"",IF(M196&lt;&gt;"",$M$12,"")))</f>
        <v/>
      </c>
    </row>
    <row r="198" spans="13:13" x14ac:dyDescent="0.35">
      <c r="M198" t="str">
        <f>IFERROR(LOOKUP(2,1/(COUNTIF($M$9:M196,$E$12:$E$78)=0),$E$12:$E$78),IF($M$12=M197,"",IF(M197&lt;&gt;"",$M$12,"")))</f>
        <v/>
      </c>
    </row>
    <row r="199" spans="13:13" x14ac:dyDescent="0.35">
      <c r="M199" t="str">
        <f>IFERROR(LOOKUP(2,1/(COUNTIF($M$9:M197,$E$12:$E$78)=0),$E$12:$E$78),IF($M$12=M198,"",IF(M198&lt;&gt;"",$M$12,"")))</f>
        <v/>
      </c>
    </row>
    <row r="200" spans="13:13" x14ac:dyDescent="0.35">
      <c r="M200" t="str">
        <f>IFERROR(LOOKUP(2,1/(COUNTIF($M$9:M198,$E$12:$E$78)=0),$E$12:$E$78),IF($M$12=M199,"",IF(M199&lt;&gt;"",$M$12,"")))</f>
        <v/>
      </c>
    </row>
    <row r="201" spans="13:13" x14ac:dyDescent="0.35">
      <c r="M201" t="str">
        <f>IFERROR(LOOKUP(2,1/(COUNTIF($M$9:M199,$E$12:$E$78)=0),$E$12:$E$78),IF($M$12=M200,"",IF(M200&lt;&gt;"",$M$12,"")))</f>
        <v/>
      </c>
    </row>
    <row r="202" spans="13:13" x14ac:dyDescent="0.35">
      <c r="M202" t="str">
        <f>IFERROR(LOOKUP(2,1/(COUNTIF($M$9:M200,$E$12:$E$78)=0),$E$12:$E$78),IF($M$12=M201,"",IF(M201&lt;&gt;"",$M$12,"")))</f>
        <v/>
      </c>
    </row>
    <row r="203" spans="13:13" x14ac:dyDescent="0.35">
      <c r="M203" t="str">
        <f>IFERROR(LOOKUP(2,1/(COUNTIF($M$9:M201,$E$12:$E$78)=0),$E$12:$E$78),IF($M$12=M202,"",IF(M202&lt;&gt;"",$M$12,"")))</f>
        <v/>
      </c>
    </row>
    <row r="204" spans="13:13" x14ac:dyDescent="0.35">
      <c r="M204" t="str">
        <f>IFERROR(LOOKUP(2,1/(COUNTIF($M$9:M202,$E$12:$E$78)=0),$E$12:$E$78),IF($M$12=M203,"",IF(M203&lt;&gt;"",$M$12,"")))</f>
        <v/>
      </c>
    </row>
    <row r="205" spans="13:13" x14ac:dyDescent="0.35">
      <c r="M205" t="str">
        <f>IFERROR(LOOKUP(2,1/(COUNTIF($M$9:M203,$E$12:$E$78)=0),$E$12:$E$78),IF($M$12=M204,"",IF(M204&lt;&gt;"",$M$12,"")))</f>
        <v/>
      </c>
    </row>
    <row r="206" spans="13:13" x14ac:dyDescent="0.35">
      <c r="M206" t="str">
        <f>IFERROR(LOOKUP(2,1/(COUNTIF($M$9:M204,$E$12:$E$78)=0),$E$12:$E$78),IF($M$12=M205,"",IF(M205&lt;&gt;"",$M$12,"")))</f>
        <v/>
      </c>
    </row>
    <row r="207" spans="13:13" x14ac:dyDescent="0.35">
      <c r="M207" t="str">
        <f>IFERROR(LOOKUP(2,1/(COUNTIF($M$9:M205,$E$12:$E$78)=0),$E$12:$E$78),IF($M$12=M206,"",IF(M206&lt;&gt;"",$M$12,"")))</f>
        <v/>
      </c>
    </row>
    <row r="208" spans="13:13" x14ac:dyDescent="0.35">
      <c r="M208" t="str">
        <f>IFERROR(LOOKUP(2,1/(COUNTIF($M$9:M206,$E$12:$E$78)=0),$E$12:$E$78),IF($M$12=M207,"",IF(M207&lt;&gt;"",$M$12,"")))</f>
        <v/>
      </c>
    </row>
    <row r="209" spans="13:13" x14ac:dyDescent="0.35">
      <c r="M209" t="str">
        <f>IFERROR(LOOKUP(2,1/(COUNTIF($M$9:M207,$E$12:$E$78)=0),$E$12:$E$78),IF($M$12=M208,"",IF(M208&lt;&gt;"",$M$12,"")))</f>
        <v/>
      </c>
    </row>
    <row r="210" spans="13:13" x14ac:dyDescent="0.35">
      <c r="M210" t="str">
        <f>IFERROR(LOOKUP(2,1/(COUNTIF($M$9:M208,$E$12:$E$78)=0),$E$12:$E$78),IF($M$12=M209,"",IF(M209&lt;&gt;"",$M$12,"")))</f>
        <v/>
      </c>
    </row>
    <row r="211" spans="13:13" x14ac:dyDescent="0.35">
      <c r="M211" t="str">
        <f>IFERROR(LOOKUP(2,1/(COUNTIF($M$9:M209,$E$12:$E$78)=0),$E$12:$E$78),IF($M$12=M210,"",IF(M210&lt;&gt;"",$M$12,"")))</f>
        <v/>
      </c>
    </row>
    <row r="212" spans="13:13" x14ac:dyDescent="0.35">
      <c r="M212" t="str">
        <f>IFERROR(LOOKUP(2,1/(COUNTIF($M$9:M210,$E$12:$E$78)=0),$E$12:$E$78),IF($M$12=M211,"",IF(M211&lt;&gt;"",$M$12,"")))</f>
        <v/>
      </c>
    </row>
    <row r="213" spans="13:13" x14ac:dyDescent="0.35">
      <c r="M213" t="str">
        <f>IFERROR(LOOKUP(2,1/(COUNTIF($M$9:M211,$E$12:$E$78)=0),$E$12:$E$78),IF($M$12=M212,"",IF(M212&lt;&gt;"",$M$12,"")))</f>
        <v/>
      </c>
    </row>
    <row r="214" spans="13:13" x14ac:dyDescent="0.35">
      <c r="M214" t="str">
        <f>IFERROR(LOOKUP(2,1/(COUNTIF($M$9:M212,$E$12:$E$78)=0),$E$12:$E$78),IF($M$12=M213,"",IF(M213&lt;&gt;"",$M$12,"")))</f>
        <v/>
      </c>
    </row>
    <row r="215" spans="13:13" x14ac:dyDescent="0.35">
      <c r="M215" t="str">
        <f>IFERROR(LOOKUP(2,1/(COUNTIF($M$9:M213,$E$12:$E$78)=0),$E$12:$E$78),IF($M$12=M214,"",IF(M214&lt;&gt;"",$M$12,"")))</f>
        <v/>
      </c>
    </row>
    <row r="216" spans="13:13" x14ac:dyDescent="0.35">
      <c r="M216" t="str">
        <f>IFERROR(LOOKUP(2,1/(COUNTIF($M$9:M214,$E$12:$E$78)=0),$E$12:$E$78),IF($M$12=M215,"",IF(M215&lt;&gt;"",$M$12,"")))</f>
        <v/>
      </c>
    </row>
    <row r="217" spans="13:13" x14ac:dyDescent="0.35">
      <c r="M217" t="str">
        <f>IFERROR(LOOKUP(2,1/(COUNTIF($M$9:M215,$E$12:$E$78)=0),$E$12:$E$78),IF($M$12=M216,"",IF(M216&lt;&gt;"",$M$12,"")))</f>
        <v/>
      </c>
    </row>
    <row r="218" spans="13:13" x14ac:dyDescent="0.35">
      <c r="M218" t="str">
        <f>IFERROR(LOOKUP(2,1/(COUNTIF($M$9:M216,$E$12:$E$78)=0),$E$12:$E$78),IF($M$12=M217,"",IF(M217&lt;&gt;"",$M$12,"")))</f>
        <v/>
      </c>
    </row>
    <row r="219" spans="13:13" x14ac:dyDescent="0.35">
      <c r="M219" t="str">
        <f>IFERROR(LOOKUP(2,1/(COUNTIF($M$9:M217,$E$12:$E$78)=0),$E$12:$E$78),IF($M$12=M218,"",IF(M218&lt;&gt;"",$M$12,"")))</f>
        <v/>
      </c>
    </row>
    <row r="220" spans="13:13" x14ac:dyDescent="0.35">
      <c r="M220" t="str">
        <f>IFERROR(LOOKUP(2,1/(COUNTIF($M$9:M218,$E$12:$E$78)=0),$E$12:$E$78),IF($M$12=M219,"",IF(M219&lt;&gt;"",$M$12,"")))</f>
        <v/>
      </c>
    </row>
    <row r="221" spans="13:13" x14ac:dyDescent="0.35">
      <c r="M221" t="str">
        <f>IFERROR(LOOKUP(2,1/(COUNTIF($M$9:M219,$E$12:$E$78)=0),$E$12:$E$78),IF($M$12=M220,"",IF(M220&lt;&gt;"",$M$12,"")))</f>
        <v/>
      </c>
    </row>
    <row r="222" spans="13:13" x14ac:dyDescent="0.35">
      <c r="M222" t="str">
        <f>IFERROR(LOOKUP(2,1/(COUNTIF($M$9:M220,$E$12:$E$78)=0),$E$12:$E$78),IF($M$12=M221,"",IF(M221&lt;&gt;"",$M$12,"")))</f>
        <v/>
      </c>
    </row>
    <row r="223" spans="13:13" x14ac:dyDescent="0.35">
      <c r="M223" t="str">
        <f>IFERROR(LOOKUP(2,1/(COUNTIF($M$9:M221,$E$12:$E$78)=0),$E$12:$E$78),IF($M$12=M222,"",IF(M222&lt;&gt;"",$M$12,"")))</f>
        <v/>
      </c>
    </row>
    <row r="224" spans="13:13" x14ac:dyDescent="0.35">
      <c r="M224" t="str">
        <f>IFERROR(LOOKUP(2,1/(COUNTIF($M$9:M222,$E$12:$E$78)=0),$E$12:$E$78),IF($M$12=M223,"",IF(M223&lt;&gt;"",$M$12,"")))</f>
        <v/>
      </c>
    </row>
    <row r="225" spans="13:13" x14ac:dyDescent="0.35">
      <c r="M225" t="str">
        <f>IFERROR(LOOKUP(2,1/(COUNTIF($M$9:M223,$E$12:$E$78)=0),$E$12:$E$78),IF($M$12=M224,"",IF(M224&lt;&gt;"",$M$12,"")))</f>
        <v/>
      </c>
    </row>
    <row r="226" spans="13:13" x14ac:dyDescent="0.35">
      <c r="M226" t="str">
        <f>IFERROR(LOOKUP(2,1/(COUNTIF($M$9:M224,$E$12:$E$78)=0),$E$12:$E$78),IF($M$12=M225,"",IF(M225&lt;&gt;"",$M$12,"")))</f>
        <v/>
      </c>
    </row>
    <row r="227" spans="13:13" x14ac:dyDescent="0.35">
      <c r="M227" t="str">
        <f>IFERROR(LOOKUP(2,1/(COUNTIF($M$9:M225,$E$12:$E$78)=0),$E$12:$E$78),IF($M$12=M226,"",IF(M226&lt;&gt;"",$M$12,"")))</f>
        <v/>
      </c>
    </row>
    <row r="228" spans="13:13" x14ac:dyDescent="0.35">
      <c r="M228" t="str">
        <f>IFERROR(LOOKUP(2,1/(COUNTIF($M$9:M226,$E$12:$E$78)=0),$E$12:$E$78),IF($M$12=M227,"",IF(M227&lt;&gt;"",$M$12,"")))</f>
        <v/>
      </c>
    </row>
    <row r="229" spans="13:13" x14ac:dyDescent="0.35">
      <c r="M229" t="str">
        <f>IFERROR(LOOKUP(2,1/(COUNTIF($M$9:M227,$E$12:$E$78)=0),$E$12:$E$78),IF($M$12=M228,"",IF(M228&lt;&gt;"",$M$12,"")))</f>
        <v/>
      </c>
    </row>
    <row r="230" spans="13:13" x14ac:dyDescent="0.35">
      <c r="M230" t="str">
        <f>IFERROR(LOOKUP(2,1/(COUNTIF($M$9:M228,$E$12:$E$78)=0),$E$12:$E$78),IF($M$12=M229,"",IF(M229&lt;&gt;"",$M$12,"")))</f>
        <v/>
      </c>
    </row>
    <row r="231" spans="13:13" x14ac:dyDescent="0.35">
      <c r="M231" t="str">
        <f>IFERROR(LOOKUP(2,1/(COUNTIF($M$9:M229,$E$12:$E$78)=0),$E$12:$E$78),IF($M$12=M230,"",IF(M230&lt;&gt;"",$M$12,"")))</f>
        <v/>
      </c>
    </row>
    <row r="232" spans="13:13" x14ac:dyDescent="0.35">
      <c r="M232" t="str">
        <f>IFERROR(LOOKUP(2,1/(COUNTIF($M$9:M230,$E$12:$E$78)=0),$E$12:$E$78),IF($M$12=M231,"",IF(M231&lt;&gt;"",$M$12,"")))</f>
        <v/>
      </c>
    </row>
    <row r="233" spans="13:13" x14ac:dyDescent="0.35">
      <c r="M233" t="str">
        <f>IFERROR(LOOKUP(2,1/(COUNTIF($M$9:M231,$E$12:$E$78)=0),$E$12:$E$78),IF($M$12=M232,"",IF(M232&lt;&gt;"",$M$12,"")))</f>
        <v/>
      </c>
    </row>
    <row r="234" spans="13:13" x14ac:dyDescent="0.35">
      <c r="M234" t="str">
        <f>IFERROR(LOOKUP(2,1/(COUNTIF($M$9:M232,$E$12:$E$78)=0),$E$12:$E$78),IF($M$12=M233,"",IF(M233&lt;&gt;"",$M$12,"")))</f>
        <v/>
      </c>
    </row>
    <row r="235" spans="13:13" x14ac:dyDescent="0.35">
      <c r="M235" t="str">
        <f>IFERROR(LOOKUP(2,1/(COUNTIF($M$9:M233,$E$12:$E$78)=0),$E$12:$E$78),IF($M$12=M234,"",IF(M234&lt;&gt;"",$M$12,"")))</f>
        <v/>
      </c>
    </row>
    <row r="236" spans="13:13" x14ac:dyDescent="0.35">
      <c r="M236" t="str">
        <f>IFERROR(LOOKUP(2,1/(COUNTIF($M$9:M234,$E$12:$E$78)=0),$E$12:$E$78),IF($M$12=M235,"",IF(M235&lt;&gt;"",$M$12,"")))</f>
        <v/>
      </c>
    </row>
    <row r="237" spans="13:13" x14ac:dyDescent="0.35">
      <c r="M237" t="str">
        <f>IFERROR(LOOKUP(2,1/(COUNTIF($M$9:M235,$E$12:$E$78)=0),$E$12:$E$78),IF($M$12=M236,"",IF(M236&lt;&gt;"",$M$12,"")))</f>
        <v/>
      </c>
    </row>
    <row r="238" spans="13:13" x14ac:dyDescent="0.35">
      <c r="M238" t="str">
        <f>IFERROR(LOOKUP(2,1/(COUNTIF($M$9:M236,$E$12:$E$78)=0),$E$12:$E$78),IF($M$12=M237,"",IF(M237&lt;&gt;"",$M$12,"")))</f>
        <v/>
      </c>
    </row>
    <row r="239" spans="13:13" x14ac:dyDescent="0.35">
      <c r="M239" t="str">
        <f>IFERROR(LOOKUP(2,1/(COUNTIF($M$9:M237,$E$12:$E$78)=0),$E$12:$E$78),IF($M$12=M238,"",IF(M238&lt;&gt;"",$M$12,"")))</f>
        <v/>
      </c>
    </row>
    <row r="240" spans="13:13" x14ac:dyDescent="0.35">
      <c r="M240" t="str">
        <f>IFERROR(LOOKUP(2,1/(COUNTIF($M$9:M238,$E$12:$E$78)=0),$E$12:$E$78),IF($M$12=M239,"",IF(M239&lt;&gt;"",$M$12,"")))</f>
        <v/>
      </c>
    </row>
    <row r="241" spans="13:13" x14ac:dyDescent="0.35">
      <c r="M241" t="str">
        <f>IFERROR(LOOKUP(2,1/(COUNTIF($M$9:M239,$E$12:$E$78)=0),$E$12:$E$78),IF($M$12=M240,"",IF(M240&lt;&gt;"",$M$12,"")))</f>
        <v/>
      </c>
    </row>
    <row r="242" spans="13:13" x14ac:dyDescent="0.35">
      <c r="M242" t="str">
        <f>IFERROR(LOOKUP(2,1/(COUNTIF($M$9:M240,$E$12:$E$78)=0),$E$12:$E$78),IF($M$12=M241,"",IF(M241&lt;&gt;"",$M$12,"")))</f>
        <v/>
      </c>
    </row>
    <row r="243" spans="13:13" x14ac:dyDescent="0.35">
      <c r="M243" t="str">
        <f>IFERROR(LOOKUP(2,1/(COUNTIF($M$9:M241,$E$12:$E$78)=0),$E$12:$E$78),IF($M$12=M242,"",IF(M242&lt;&gt;"",$M$12,"")))</f>
        <v/>
      </c>
    </row>
    <row r="244" spans="13:13" x14ac:dyDescent="0.35">
      <c r="M244" t="str">
        <f>IFERROR(LOOKUP(2,1/(COUNTIF($M$9:M242,$E$12:$E$78)=0),$E$12:$E$78),IF($M$12=M243,"",IF(M243&lt;&gt;"",$M$12,"")))</f>
        <v/>
      </c>
    </row>
    <row r="245" spans="13:13" x14ac:dyDescent="0.35">
      <c r="M245" t="str">
        <f>IFERROR(LOOKUP(2,1/(COUNTIF($M$9:M243,$E$12:$E$78)=0),$E$12:$E$78),IF($M$12=M244,"",IF(M244&lt;&gt;"",$M$12,"")))</f>
        <v/>
      </c>
    </row>
    <row r="246" spans="13:13" x14ac:dyDescent="0.35">
      <c r="M246" t="str">
        <f>IFERROR(LOOKUP(2,1/(COUNTIF($M$9:M244,$E$12:$E$78)=0),$E$12:$E$78),IF($M$12=M245,"",IF(M245&lt;&gt;"",$M$12,"")))</f>
        <v/>
      </c>
    </row>
    <row r="247" spans="13:13" x14ac:dyDescent="0.35">
      <c r="M247" t="str">
        <f>IFERROR(LOOKUP(2,1/(COUNTIF($M$9:M245,$E$12:$E$78)=0),$E$12:$E$78),IF($M$12=M246,"",IF(M246&lt;&gt;"",$M$12,"")))</f>
        <v/>
      </c>
    </row>
    <row r="248" spans="13:13" x14ac:dyDescent="0.35">
      <c r="M248" t="str">
        <f>IFERROR(LOOKUP(2,1/(COUNTIF($M$9:M246,$E$12:$E$78)=0),$E$12:$E$78),IF($M$12=M247,"",IF(M247&lt;&gt;"",$M$12,"")))</f>
        <v/>
      </c>
    </row>
    <row r="249" spans="13:13" x14ac:dyDescent="0.35">
      <c r="M249" t="str">
        <f>IFERROR(LOOKUP(2,1/(COUNTIF($M$9:M247,$E$12:$E$78)=0),$E$12:$E$78),IF($M$12=M248,"",IF(M248&lt;&gt;"",$M$12,"")))</f>
        <v/>
      </c>
    </row>
    <row r="250" spans="13:13" x14ac:dyDescent="0.35">
      <c r="M250" t="str">
        <f>IFERROR(LOOKUP(2,1/(COUNTIF($M$9:M248,$E$12:$E$78)=0),$E$12:$E$78),IF($M$12=M249,"",IF(M249&lt;&gt;"",$M$12,"")))</f>
        <v/>
      </c>
    </row>
    <row r="251" spans="13:13" x14ac:dyDescent="0.35">
      <c r="M251" t="str">
        <f>IFERROR(LOOKUP(2,1/(COUNTIF($M$9:M249,$E$12:$E$78)=0),$E$12:$E$78),IF($M$12=M250,"",IF(M250&lt;&gt;"",$M$12,"")))</f>
        <v/>
      </c>
    </row>
    <row r="252" spans="13:13" x14ac:dyDescent="0.35">
      <c r="M252" t="str">
        <f>IFERROR(LOOKUP(2,1/(COUNTIF($M$9:M250,$E$12:$E$78)=0),$E$12:$E$78),IF($M$12=M251,"",IF(M251&lt;&gt;"",$M$12,"")))</f>
        <v/>
      </c>
    </row>
    <row r="253" spans="13:13" x14ac:dyDescent="0.35">
      <c r="M253" t="str">
        <f>IFERROR(LOOKUP(2,1/(COUNTIF($M$9:M251,$E$12:$E$78)=0),$E$12:$E$78),IF($M$12=M252,"",IF(M252&lt;&gt;"",$M$12,"")))</f>
        <v/>
      </c>
    </row>
    <row r="254" spans="13:13" x14ac:dyDescent="0.35">
      <c r="M254" t="str">
        <f>IFERROR(LOOKUP(2,1/(COUNTIF($M$9:M252,$E$12:$E$78)=0),$E$12:$E$78),IF($M$12=M253,"",IF(M253&lt;&gt;"",$M$12,"")))</f>
        <v/>
      </c>
    </row>
    <row r="255" spans="13:13" x14ac:dyDescent="0.35">
      <c r="M255" t="str">
        <f>IFERROR(LOOKUP(2,1/(COUNTIF($M$9:M253,$E$12:$E$78)=0),$E$12:$E$78),IF($M$12=M254,"",IF(M254&lt;&gt;"",$M$12,"")))</f>
        <v/>
      </c>
    </row>
    <row r="256" spans="13:13" x14ac:dyDescent="0.35">
      <c r="M256" t="str">
        <f>IFERROR(LOOKUP(2,1/(COUNTIF($M$9:M254,$E$12:$E$78)=0),$E$12:$E$78),IF($M$12=M255,"",IF(M255&lt;&gt;"",$M$12,"")))</f>
        <v/>
      </c>
    </row>
    <row r="257" spans="13:13" x14ac:dyDescent="0.35">
      <c r="M257" t="str">
        <f>IFERROR(LOOKUP(2,1/(COUNTIF($M$9:M255,$E$12:$E$78)=0),$E$12:$E$78),IF($M$12=M256,"",IF(M256&lt;&gt;"",$M$12,"")))</f>
        <v/>
      </c>
    </row>
    <row r="258" spans="13:13" x14ac:dyDescent="0.35">
      <c r="M258" t="str">
        <f>IFERROR(LOOKUP(2,1/(COUNTIF($M$9:M256,$E$12:$E$78)=0),$E$12:$E$78),IF($M$12=M257,"",IF(M257&lt;&gt;"",$M$12,"")))</f>
        <v/>
      </c>
    </row>
    <row r="259" spans="13:13" x14ac:dyDescent="0.35">
      <c r="M259" t="str">
        <f>IFERROR(LOOKUP(2,1/(COUNTIF($M$9:M257,$E$12:$E$78)=0),$E$12:$E$78),IF($M$12=M258,"",IF(M258&lt;&gt;"",$M$12,"")))</f>
        <v/>
      </c>
    </row>
    <row r="260" spans="13:13" x14ac:dyDescent="0.35">
      <c r="M260" t="str">
        <f>IFERROR(LOOKUP(2,1/(COUNTIF($M$9:M258,$E$12:$E$78)=0),$E$12:$E$78),IF($M$12=M259,"",IF(M259&lt;&gt;"",$M$12,"")))</f>
        <v/>
      </c>
    </row>
    <row r="261" spans="13:13" x14ac:dyDescent="0.35">
      <c r="M261" t="str">
        <f>IFERROR(LOOKUP(2,1/(COUNTIF($M$9:M259,$E$12:$E$78)=0),$E$12:$E$78),IF($M$12=M260,"",IF(M260&lt;&gt;"",$M$12,"")))</f>
        <v/>
      </c>
    </row>
    <row r="262" spans="13:13" x14ac:dyDescent="0.35">
      <c r="M262" t="str">
        <f>IFERROR(LOOKUP(2,1/(COUNTIF($M$9:M260,$E$12:$E$78)=0),$E$12:$E$78),IF($M$12=M261,"",IF(M261&lt;&gt;"",$M$12,"")))</f>
        <v/>
      </c>
    </row>
    <row r="263" spans="13:13" x14ac:dyDescent="0.35">
      <c r="M263" t="str">
        <f>IFERROR(LOOKUP(2,1/(COUNTIF($M$9:M261,$E$12:$E$78)=0),$E$12:$E$78),IF($M$12=M262,"",IF(M262&lt;&gt;"",$M$12,"")))</f>
        <v/>
      </c>
    </row>
    <row r="264" spans="13:13" x14ac:dyDescent="0.35">
      <c r="M264" t="str">
        <f>IFERROR(LOOKUP(2,1/(COUNTIF($M$9:M262,$E$12:$E$78)=0),$E$12:$E$78),IF($M$12=M263,"",IF(M263&lt;&gt;"",$M$12,"")))</f>
        <v/>
      </c>
    </row>
    <row r="265" spans="13:13" x14ac:dyDescent="0.35">
      <c r="M265" t="str">
        <f>IFERROR(LOOKUP(2,1/(COUNTIF($M$9:M263,$E$12:$E$78)=0),$E$12:$E$78),IF($M$12=M264,"",IF(M264&lt;&gt;"",$M$12,"")))</f>
        <v/>
      </c>
    </row>
    <row r="266" spans="13:13" x14ac:dyDescent="0.35">
      <c r="M266" t="str">
        <f>IFERROR(LOOKUP(2,1/(COUNTIF($M$9:M264,$E$12:$E$78)=0),$E$12:$E$78),IF($M$12=M265,"",IF(M265&lt;&gt;"",$M$12,"")))</f>
        <v/>
      </c>
    </row>
    <row r="267" spans="13:13" x14ac:dyDescent="0.35">
      <c r="M267" t="str">
        <f>IFERROR(LOOKUP(2,1/(COUNTIF($M$9:M265,$E$12:$E$78)=0),$E$12:$E$78),IF($M$12=M266,"",IF(M266&lt;&gt;"",$M$12,"")))</f>
        <v/>
      </c>
    </row>
    <row r="268" spans="13:13" x14ac:dyDescent="0.35">
      <c r="M268" t="str">
        <f>IFERROR(LOOKUP(2,1/(COUNTIF($M$9:M266,$E$12:$E$78)=0),$E$12:$E$78),IF($M$12=M267,"",IF(M267&lt;&gt;"",$M$12,"")))</f>
        <v/>
      </c>
    </row>
    <row r="269" spans="13:13" x14ac:dyDescent="0.35">
      <c r="M269" t="str">
        <f>IFERROR(LOOKUP(2,1/(COUNTIF($M$9:M267,$E$12:$E$78)=0),$E$12:$E$78),IF($M$12=M268,"",IF(M268&lt;&gt;"",$M$12,"")))</f>
        <v/>
      </c>
    </row>
    <row r="270" spans="13:13" x14ac:dyDescent="0.35">
      <c r="M270" t="str">
        <f>IFERROR(LOOKUP(2,1/(COUNTIF($M$9:M268,$E$12:$E$78)=0),$E$12:$E$78),IF($M$12=M269,"",IF(M269&lt;&gt;"",$M$12,"")))</f>
        <v/>
      </c>
    </row>
    <row r="271" spans="13:13" x14ac:dyDescent="0.35">
      <c r="M271" t="str">
        <f>IFERROR(LOOKUP(2,1/(COUNTIF($M$9:M269,$E$12:$E$78)=0),$E$12:$E$78),IF($M$12=M270,"",IF(M270&lt;&gt;"",$M$12,"")))</f>
        <v/>
      </c>
    </row>
    <row r="272" spans="13:13" x14ac:dyDescent="0.35">
      <c r="M272" t="str">
        <f>IFERROR(LOOKUP(2,1/(COUNTIF($M$9:M270,$E$12:$E$78)=0),$E$12:$E$78),IF($M$12=M271,"",IF(M271&lt;&gt;"",$M$12,"")))</f>
        <v/>
      </c>
    </row>
    <row r="273" spans="13:13" x14ac:dyDescent="0.35">
      <c r="M273" t="str">
        <f>IFERROR(LOOKUP(2,1/(COUNTIF($M$9:M271,$E$12:$E$78)=0),$E$12:$E$78),IF($M$12=M272,"",IF(M272&lt;&gt;"",$M$12,"")))</f>
        <v/>
      </c>
    </row>
    <row r="274" spans="13:13" x14ac:dyDescent="0.35">
      <c r="M274" t="str">
        <f>IFERROR(LOOKUP(2,1/(COUNTIF($M$9:M272,$E$12:$E$78)=0),$E$12:$E$78),IF($M$12=M273,"",IF(M273&lt;&gt;"",$M$12,"")))</f>
        <v/>
      </c>
    </row>
    <row r="275" spans="13:13" x14ac:dyDescent="0.35">
      <c r="M275" t="str">
        <f>IFERROR(LOOKUP(2,1/(COUNTIF($M$9:M273,$E$12:$E$78)=0),$E$12:$E$78),IF($M$12=M274,"",IF(M274&lt;&gt;"",$M$12,"")))</f>
        <v/>
      </c>
    </row>
    <row r="276" spans="13:13" x14ac:dyDescent="0.35">
      <c r="M276" t="str">
        <f>IF(IFERROR(LOOKUP(2,1/(COUNTIF($M$9:M274,$E$12:$E$78)=0),$E$12:$E$78),IF($M$12=M275,"",IF(M275&lt;&gt;"",$M$12,"")))=0,"",IFERROR(LOOKUP(2,1/(COUNTIF($M$9:M274,$E$12:$E$78)=0),$E$12:$E$78),IF($M$12=M275,"",IF(M275&lt;&gt;"",$M$12,""))))</f>
        <v/>
      </c>
    </row>
    <row r="277" spans="13:13" x14ac:dyDescent="0.35">
      <c r="M277" t="str">
        <f>IF(IFERROR(LOOKUP(2,1/(COUNTIF($M$9:M275,$E$12:$E$78)=0),$E$12:$E$78),IF($M$12=M276,"",IF(M276&lt;&gt;"",$M$12,"")))=0,"",IFERROR(LOOKUP(2,1/(COUNTIF($M$9:M275,$E$12:$E$78)=0),$E$12:$E$78),IF($M$12=M276,"",IF(M276&lt;&gt;"",$M$12,""))))</f>
        <v/>
      </c>
    </row>
    <row r="278" spans="13:13" x14ac:dyDescent="0.35">
      <c r="M278" t="str">
        <f>IF(IFERROR(LOOKUP(2,1/(COUNTIF($M$9:M276,$E$12:$E$78)=0),$E$12:$E$78),IF($M$12=M277,"",IF(M277&lt;&gt;"",$M$12,"")))=0,"",IFERROR(LOOKUP(2,1/(COUNTIF($M$9:M276,$E$12:$E$78)=0),$E$12:$E$78),IF($M$12=M277,"",IF(M277&lt;&gt;"",$M$12,""))))</f>
        <v/>
      </c>
    </row>
    <row r="279" spans="13:13" x14ac:dyDescent="0.35">
      <c r="M279" t="str">
        <f>IF(IFERROR(LOOKUP(2,1/(COUNTIF($M$9:M277,$E$12:$E$78)=0),$E$12:$E$78),IF($M$12=M278,"",IF(M278&lt;&gt;"",$M$12,"")))=0,"",IFERROR(LOOKUP(2,1/(COUNTIF($M$9:M277,$E$12:$E$78)=0),$E$12:$E$78),IF($M$12=M278,"",IF(M278&lt;&gt;"",$M$12,""))))</f>
        <v/>
      </c>
    </row>
    <row r="280" spans="13:13" x14ac:dyDescent="0.35">
      <c r="M280" t="str">
        <f>IF(IFERROR(LOOKUP(2,1/(COUNTIF($M$9:M278,$E$12:$E$78)=0),$E$12:$E$78),IF($M$12=M279,"",IF(M279&lt;&gt;"",$M$12,"")))=0,"",IFERROR(LOOKUP(2,1/(COUNTIF($M$9:M278,$E$12:$E$78)=0),$E$12:$E$78),IF($M$12=M279,"",IF(M279&lt;&gt;"",$M$12,""))))</f>
        <v/>
      </c>
    </row>
    <row r="281" spans="13:13" x14ac:dyDescent="0.35">
      <c r="M281" t="str">
        <f>IF(IFERROR(LOOKUP(2,1/(COUNTIF($M$9:M279,$E$12:$E$78)=0),$E$12:$E$78),IF($M$12=M280,"",IF(M280&lt;&gt;"",$M$12,"")))=0,"",IFERROR(LOOKUP(2,1/(COUNTIF($M$9:M279,$E$12:$E$78)=0),$E$12:$E$78),IF($M$12=M280,"",IF(M280&lt;&gt;"",$M$12,""))))</f>
        <v/>
      </c>
    </row>
    <row r="282" spans="13:13" x14ac:dyDescent="0.35">
      <c r="M282" t="str">
        <f>IF(IFERROR(LOOKUP(2,1/(COUNTIF($M$9:M280,$E$12:$E$78)=0),$E$12:$E$78),IF($M$12=M281,"",IF(M281&lt;&gt;"",$M$12,"")))=0,"",IFERROR(LOOKUP(2,1/(COUNTIF($M$9:M280,$E$12:$E$78)=0),$E$12:$E$78),IF($M$12=M281,"",IF(M281&lt;&gt;"",$M$12,""))))</f>
        <v/>
      </c>
    </row>
    <row r="283" spans="13:13" x14ac:dyDescent="0.35">
      <c r="M283" t="str">
        <f>IF(IFERROR(LOOKUP(2,1/(COUNTIF($M$9:M281,$E$12:$E$78)=0),$E$12:$E$78),IF($M$12=M282,"",IF(M282&lt;&gt;"",$M$12,"")))=0,"",IFERROR(LOOKUP(2,1/(COUNTIF($M$9:M281,$E$12:$E$78)=0),$E$12:$E$78),IF($M$12=M282,"",IF(M282&lt;&gt;"",$M$12,""))))</f>
        <v/>
      </c>
    </row>
    <row r="284" spans="13:13" x14ac:dyDescent="0.35">
      <c r="M284" t="str">
        <f>IF(IFERROR(LOOKUP(2,1/(COUNTIF($M$9:M282,$E$12:$E$78)=0),$E$12:$E$78),IF($M$12=M283,"",IF(M283&lt;&gt;"",$M$12,"")))=0,"",IFERROR(LOOKUP(2,1/(COUNTIF($M$9:M282,$E$12:$E$78)=0),$E$12:$E$78),IF($M$12=M283,"",IF(M283&lt;&gt;"",$M$12,""))))</f>
        <v/>
      </c>
    </row>
    <row r="285" spans="13:13" x14ac:dyDescent="0.35">
      <c r="M285" t="str">
        <f>IF(IFERROR(LOOKUP(2,1/(COUNTIF($M$9:M283,$E$12:$E$78)=0),$E$12:$E$78),IF($M$12=M284,"",IF(M284&lt;&gt;"",$M$12,"")))=0,"",IFERROR(LOOKUP(2,1/(COUNTIF($M$9:M283,$E$12:$E$78)=0),$E$12:$E$78),IF($M$12=M284,"",IF(M284&lt;&gt;"",$M$12,""))))</f>
        <v/>
      </c>
    </row>
    <row r="286" spans="13:13" x14ac:dyDescent="0.35">
      <c r="M286" t="str">
        <f>IF(IFERROR(LOOKUP(2,1/(COUNTIF($M$9:M284,$E$12:$E$78)=0),$E$12:$E$78),IF($M$12=M285,"",IF(M285&lt;&gt;"",$M$12,"")))=0,"",IFERROR(LOOKUP(2,1/(COUNTIF($M$9:M284,$E$12:$E$78)=0),$E$12:$E$78),IF($M$12=M285,"",IF(M285&lt;&gt;"",$M$12,""))))</f>
        <v/>
      </c>
    </row>
    <row r="287" spans="13:13" x14ac:dyDescent="0.35">
      <c r="M287" t="str">
        <f>IF(IFERROR(LOOKUP(2,1/(COUNTIF($M$9:M285,$E$12:$E$78)=0),$E$12:$E$78),IF($M$12=M286,"",IF(M286&lt;&gt;"",$M$12,"")))=0,"",IFERROR(LOOKUP(2,1/(COUNTIF($M$9:M285,$E$12:$E$78)=0),$E$12:$E$78),IF($M$12=M286,"",IF(M286&lt;&gt;"",$M$12,""))))</f>
        <v/>
      </c>
    </row>
    <row r="288" spans="13:13" x14ac:dyDescent="0.35">
      <c r="M288" t="str">
        <f>IF(IFERROR(LOOKUP(2,1/(COUNTIF($M$9:M286,$E$12:$E$78)=0),$E$12:$E$78),IF($M$12=M287,"",IF(M287&lt;&gt;"",$M$12,"")))=0,"",IFERROR(LOOKUP(2,1/(COUNTIF($M$9:M286,$E$12:$E$78)=0),$E$12:$E$78),IF($M$12=M287,"",IF(M287&lt;&gt;"",$M$12,""))))</f>
        <v/>
      </c>
    </row>
    <row r="289" spans="13:13" x14ac:dyDescent="0.35">
      <c r="M289" t="str">
        <f>IF(IFERROR(LOOKUP(2,1/(COUNTIF($M$9:M287,$E$12:$E$78)=0),$E$12:$E$78),IF($M$12=M288,"",IF(M288&lt;&gt;"",$M$12,"")))=0,"",IFERROR(LOOKUP(2,1/(COUNTIF($M$9:M287,$E$12:$E$78)=0),$E$12:$E$78),IF($M$12=M288,"",IF(M288&lt;&gt;"",$M$12,""))))</f>
        <v/>
      </c>
    </row>
    <row r="290" spans="13:13" x14ac:dyDescent="0.35">
      <c r="M290" t="str">
        <f>IF(IFERROR(LOOKUP(2,1/(COUNTIF($M$9:M288,$E$12:$E$78)=0),$E$12:$E$78),IF($M$12=M289,"",IF(M289&lt;&gt;"",$M$12,"")))=0,"",IFERROR(LOOKUP(2,1/(COUNTIF($M$9:M288,$E$12:$E$78)=0),$E$12:$E$78),IF($M$12=M289,"",IF(M289&lt;&gt;"",$M$12,""))))</f>
        <v/>
      </c>
    </row>
    <row r="291" spans="13:13" x14ac:dyDescent="0.35">
      <c r="M291" t="str">
        <f>IF(IFERROR(LOOKUP(2,1/(COUNTIF($M$9:M289,$E$12:$E$78)=0),$E$12:$E$78),IF($M$12=M290,"",IF(M290&lt;&gt;"",$M$12,"")))=0,"",IFERROR(LOOKUP(2,1/(COUNTIF($M$9:M289,$E$12:$E$78)=0),$E$12:$E$78),IF($M$12=M290,"",IF(M290&lt;&gt;"",$M$12,""))))</f>
        <v/>
      </c>
    </row>
    <row r="292" spans="13:13" x14ac:dyDescent="0.35">
      <c r="M292" t="str">
        <f>IF(IFERROR(LOOKUP(2,1/(COUNTIF($M$9:M290,$E$12:$E$78)=0),$E$12:$E$78),IF($M$12=M291,"",IF(M291&lt;&gt;"",$M$12,"")))=0,"",IFERROR(LOOKUP(2,1/(COUNTIF($M$9:M290,$E$12:$E$78)=0),$E$12:$E$78),IF($M$12=M291,"",IF(M291&lt;&gt;"",$M$12,""))))</f>
        <v/>
      </c>
    </row>
    <row r="293" spans="13:13" x14ac:dyDescent="0.35">
      <c r="M293" t="str">
        <f>IF(IFERROR(LOOKUP(2,1/(COUNTIF($M$9:M291,$E$12:$E$78)=0),$E$12:$E$78),IF($M$12=M292,"",IF(M292&lt;&gt;"",$M$12,"")))=0,"",IFERROR(LOOKUP(2,1/(COUNTIF($M$9:M291,$E$12:$E$78)=0),$E$12:$E$78),IF($M$12=M292,"",IF(M292&lt;&gt;"",$M$12,""))))</f>
        <v/>
      </c>
    </row>
    <row r="294" spans="13:13" x14ac:dyDescent="0.35">
      <c r="M294" t="str">
        <f>IF(IFERROR(LOOKUP(2,1/(COUNTIF($M$9:M292,$E$12:$E$78)=0),$E$12:$E$78),IF($M$12=M293,"",IF(M293&lt;&gt;"",$M$12,"")))=0,"",IFERROR(LOOKUP(2,1/(COUNTIF($M$9:M292,$E$12:$E$78)=0),$E$12:$E$78),IF($M$12=M293,"",IF(M293&lt;&gt;"",$M$12,""))))</f>
        <v/>
      </c>
    </row>
    <row r="295" spans="13:13" x14ac:dyDescent="0.35">
      <c r="M295" t="str">
        <f>IF(IFERROR(LOOKUP(2,1/(COUNTIF($M$9:M293,$E$12:$E$78)=0),$E$12:$E$78),IF($M$12=M294,"",IF(M294&lt;&gt;"",$M$12,"")))=0,"",IFERROR(LOOKUP(2,1/(COUNTIF($M$9:M293,$E$12:$E$78)=0),$E$12:$E$78),IF($M$12=M294,"",IF(M294&lt;&gt;"",$M$12,""))))</f>
        <v/>
      </c>
    </row>
    <row r="296" spans="13:13" x14ac:dyDescent="0.35">
      <c r="M296" t="str">
        <f>IF(IFERROR(LOOKUP(2,1/(COUNTIF($M$9:M294,$E$12:$E$78)=0),$E$12:$E$78),IF($M$12=M295,"",IF(M295&lt;&gt;"",$M$12,"")))=0,"",IFERROR(LOOKUP(2,1/(COUNTIF($M$9:M294,$E$12:$E$78)=0),$E$12:$E$78),IF($M$12=M295,"",IF(M295&lt;&gt;"",$M$12,""))))</f>
        <v/>
      </c>
    </row>
    <row r="297" spans="13:13" x14ac:dyDescent="0.35">
      <c r="M297" t="str">
        <f>IF(IFERROR(LOOKUP(2,1/(COUNTIF($M$9:M295,$E$12:$E$78)=0),$E$12:$E$78),IF($M$12=M296,"",IF(M296&lt;&gt;"",$M$12,"")))=0,"",IFERROR(LOOKUP(2,1/(COUNTIF($M$9:M295,$E$12:$E$78)=0),$E$12:$E$78),IF($M$12=M296,"",IF(M296&lt;&gt;"",$M$12,""))))</f>
        <v/>
      </c>
    </row>
    <row r="298" spans="13:13" x14ac:dyDescent="0.35">
      <c r="M298" t="str">
        <f>IF(IFERROR(LOOKUP(2,1/(COUNTIF($M$9:M296,$E$12:$E$78)=0),$E$12:$E$78),IF($M$12=M297,"",IF(M297&lt;&gt;"",$M$12,"")))=0,"",IFERROR(LOOKUP(2,1/(COUNTIF($M$9:M296,$E$12:$E$78)=0),$E$12:$E$78),IF($M$12=M297,"",IF(M297&lt;&gt;"",$M$12,""))))</f>
        <v/>
      </c>
    </row>
    <row r="299" spans="13:13" x14ac:dyDescent="0.35">
      <c r="M299" t="str">
        <f>IF(IFERROR(LOOKUP(2,1/(COUNTIF($M$9:M297,$E$12:$E$78)=0),$E$12:$E$78),IF($M$12=M298,"",IF(M298&lt;&gt;"",$M$12,"")))=0,"",IFERROR(LOOKUP(2,1/(COUNTIF($M$9:M297,$E$12:$E$78)=0),$E$12:$E$78),IF($M$12=M298,"",IF(M298&lt;&gt;"",$M$12,""))))</f>
        <v/>
      </c>
    </row>
    <row r="300" spans="13:13" x14ac:dyDescent="0.35">
      <c r="M300" t="str">
        <f>IF(IFERROR(LOOKUP(2,1/(COUNTIF($M$9:M298,$E$12:$E$78)=0),$E$12:$E$78),IF($M$12=M299,"",IF(M299&lt;&gt;"",$M$12,"")))=0,"",IFERROR(LOOKUP(2,1/(COUNTIF($M$9:M298,$E$12:$E$78)=0),$E$12:$E$78),IF($M$12=M299,"",IF(M299&lt;&gt;"",$M$12,""))))</f>
        <v/>
      </c>
    </row>
    <row r="301" spans="13:13" x14ac:dyDescent="0.35">
      <c r="M301" t="str">
        <f>IF(IFERROR(LOOKUP(2,1/(COUNTIF($M$9:M299,$E$12:$E$78)=0),$E$12:$E$78),IF($M$12=M300,"",IF(M300&lt;&gt;"",$M$12,"")))=0,"",IFERROR(LOOKUP(2,1/(COUNTIF($M$9:M299,$E$12:$E$78)=0),$E$12:$E$78),IF($M$12=M300,"",IF(M300&lt;&gt;"",$M$12,""))))</f>
        <v/>
      </c>
    </row>
    <row r="302" spans="13:13" x14ac:dyDescent="0.35">
      <c r="M302" t="str">
        <f>IF(IFERROR(LOOKUP(2,1/(COUNTIF($M$9:M300,$E$12:$E$78)=0),$E$12:$E$78),IF($M$12=M301,"",IF(M301&lt;&gt;"",$M$12,"")))=0,"",IFERROR(LOOKUP(2,1/(COUNTIF($M$9:M300,$E$12:$E$78)=0),$E$12:$E$78),IF($M$12=M301,"",IF(M301&lt;&gt;"",$M$12,""))))</f>
        <v/>
      </c>
    </row>
    <row r="303" spans="13:13" x14ac:dyDescent="0.35">
      <c r="M303" t="str">
        <f>IF(IFERROR(LOOKUP(2,1/(COUNTIF($M$9:M301,$E$12:$E$78)=0),$E$12:$E$78),IF($M$12=M302,"",IF(M302&lt;&gt;"",$M$12,"")))=0,"",IFERROR(LOOKUP(2,1/(COUNTIF($M$9:M301,$E$12:$E$78)=0),$E$12:$E$78),IF($M$12=M302,"",IF(M302&lt;&gt;"",$M$12,""))))</f>
        <v/>
      </c>
    </row>
    <row r="304" spans="13:13" x14ac:dyDescent="0.35">
      <c r="M304" t="str">
        <f>IF(IFERROR(LOOKUP(2,1/(COUNTIF($M$9:M302,$E$12:$E$78)=0),$E$12:$E$78),IF($M$12=M303,"",IF(M303&lt;&gt;"",$M$12,"")))=0,"",IFERROR(LOOKUP(2,1/(COUNTIF($M$9:M302,$E$12:$E$78)=0),$E$12:$E$78),IF($M$12=M303,"",IF(M303&lt;&gt;"",$M$12,""))))</f>
        <v/>
      </c>
    </row>
    <row r="305" spans="13:13" x14ac:dyDescent="0.35">
      <c r="M305" t="str">
        <f>IF(IFERROR(LOOKUP(2,1/(COUNTIF($M$9:M303,$E$12:$E$78)=0),$E$12:$E$78),IF($M$12=M304,"",IF(M304&lt;&gt;"",$M$12,"")))=0,"",IFERROR(LOOKUP(2,1/(COUNTIF($M$9:M303,$E$12:$E$78)=0),$E$12:$E$78),IF($M$12=M304,"",IF(M304&lt;&gt;"",$M$12,""))))</f>
        <v/>
      </c>
    </row>
    <row r="306" spans="13:13" x14ac:dyDescent="0.35">
      <c r="M306" t="str">
        <f>IF(IFERROR(LOOKUP(2,1/(COUNTIF($M$9:M304,$E$12:$E$78)=0),$E$12:$E$78),IF($M$12=M305,"",IF(M305&lt;&gt;"",$M$12,"")))=0,"",IFERROR(LOOKUP(2,1/(COUNTIF($M$9:M304,$E$12:$E$78)=0),$E$12:$E$78),IF($M$12=M305,"",IF(M305&lt;&gt;"",$M$12,""))))</f>
        <v/>
      </c>
    </row>
    <row r="307" spans="13:13" x14ac:dyDescent="0.35">
      <c r="M307" t="str">
        <f>IF(IFERROR(LOOKUP(2,1/(COUNTIF($M$9:M305,$E$12:$E$78)=0),$E$12:$E$78),IF($M$12=M306,"",IF(M306&lt;&gt;"",$M$12,"")))=0,"",IFERROR(LOOKUP(2,1/(COUNTIF($M$9:M305,$E$12:$E$78)=0),$E$12:$E$78),IF($M$12=M306,"",IF(M306&lt;&gt;"",$M$12,""))))</f>
        <v/>
      </c>
    </row>
    <row r="308" spans="13:13" x14ac:dyDescent="0.35">
      <c r="M308" t="str">
        <f>IF(IFERROR(LOOKUP(2,1/(COUNTIF($M$9:M306,$E$12:$E$78)=0),$E$12:$E$78),IF($M$12=M307,"",IF(M307&lt;&gt;"",$M$12,"")))=0,"",IFERROR(LOOKUP(2,1/(COUNTIF($M$9:M306,$E$12:$E$78)=0),$E$12:$E$78),IF($M$12=M307,"",IF(M307&lt;&gt;"",$M$12,""))))</f>
        <v/>
      </c>
    </row>
    <row r="309" spans="13:13" x14ac:dyDescent="0.35">
      <c r="M309" t="str">
        <f>IF(IFERROR(LOOKUP(2,1/(COUNTIF($M$9:M307,$E$12:$E$78)=0),$E$12:$E$78),IF($M$12=M308,"",IF(M308&lt;&gt;"",$M$12,"")))=0,"",IFERROR(LOOKUP(2,1/(COUNTIF($M$9:M307,$E$12:$E$78)=0),$E$12:$E$78),IF($M$12=M308,"",IF(M308&lt;&gt;"",$M$12,""))))</f>
        <v/>
      </c>
    </row>
    <row r="310" spans="13:13" x14ac:dyDescent="0.35">
      <c r="M310" t="str">
        <f>IF(IFERROR(LOOKUP(2,1/(COUNTIF($M$9:M308,$E$12:$E$78)=0),$E$12:$E$78),IF($M$12=M309,"",IF(M309&lt;&gt;"",$M$12,"")))=0,"",IFERROR(LOOKUP(2,1/(COUNTIF($M$9:M308,$E$12:$E$78)=0),$E$12:$E$78),IF($M$12=M309,"",IF(M309&lt;&gt;"",$M$12,""))))</f>
        <v/>
      </c>
    </row>
    <row r="311" spans="13:13" x14ac:dyDescent="0.35">
      <c r="M311" t="str">
        <f>IF(IFERROR(LOOKUP(2,1/(COUNTIF($M$9:M309,$E$12:$E$78)=0),$E$12:$E$78),IF($M$12=M310,"",IF(M310&lt;&gt;"",$M$12,"")))=0,"",IFERROR(LOOKUP(2,1/(COUNTIF($M$9:M309,$E$12:$E$78)=0),$E$12:$E$78),IF($M$12=M310,"",IF(M310&lt;&gt;"",$M$12,""))))</f>
        <v/>
      </c>
    </row>
    <row r="312" spans="13:13" x14ac:dyDescent="0.35">
      <c r="M312" t="str">
        <f>IF(IFERROR(LOOKUP(2,1/(COUNTIF($M$9:M310,$E$12:$E$78)=0),$E$12:$E$78),IF($M$12=M311,"",IF(M311&lt;&gt;"",$M$12,"")))=0,"",IFERROR(LOOKUP(2,1/(COUNTIF($M$9:M310,$E$12:$E$78)=0),$E$12:$E$78),IF($M$12=M311,"",IF(M311&lt;&gt;"",$M$12,""))))</f>
        <v/>
      </c>
    </row>
    <row r="313" spans="13:13" x14ac:dyDescent="0.35">
      <c r="M313" t="str">
        <f>IF(IFERROR(LOOKUP(2,1/(COUNTIF($M$9:M311,$E$12:$E$78)=0),$E$12:$E$78),IF($M$12=M312,"",IF(M312&lt;&gt;"",$M$12,"")))=0,"",IFERROR(LOOKUP(2,1/(COUNTIF($M$9:M311,$E$12:$E$78)=0),$E$12:$E$78),IF($M$12=M312,"",IF(M312&lt;&gt;"",$M$12,""))))</f>
        <v/>
      </c>
    </row>
    <row r="314" spans="13:13" x14ac:dyDescent="0.35">
      <c r="M314" t="str">
        <f>IF(IFERROR(LOOKUP(2,1/(COUNTIF($M$9:M312,$E$12:$E$78)=0),$E$12:$E$78),IF($M$12=M313,"",IF(M313&lt;&gt;"",$M$12,"")))=0,"",IFERROR(LOOKUP(2,1/(COUNTIF($M$9:M312,$E$12:$E$78)=0),$E$12:$E$78),IF($M$12=M313,"",IF(M313&lt;&gt;"",$M$12,""))))</f>
        <v/>
      </c>
    </row>
    <row r="315" spans="13:13" x14ac:dyDescent="0.35">
      <c r="M315" t="str">
        <f>IF(IFERROR(LOOKUP(2,1/(COUNTIF($M$9:M313,$E$12:$E$78)=0),$E$12:$E$78),IF($M$12=M314,"",IF(M314&lt;&gt;"",$M$12,"")))=0,"",IFERROR(LOOKUP(2,1/(COUNTIF($M$9:M313,$E$12:$E$78)=0),$E$12:$E$78),IF($M$12=M314,"",IF(M314&lt;&gt;"",$M$12,""))))</f>
        <v/>
      </c>
    </row>
    <row r="316" spans="13:13" x14ac:dyDescent="0.35">
      <c r="M316" t="str">
        <f>IF(IFERROR(LOOKUP(2,1/(COUNTIF($M$9:M314,$E$12:$E$78)=0),$E$12:$E$78),IF($M$12=M315,"",IF(M315&lt;&gt;"",$M$12,"")))=0,"",IFERROR(LOOKUP(2,1/(COUNTIF($M$9:M314,$E$12:$E$78)=0),$E$12:$E$78),IF($M$12=M315,"",IF(M315&lt;&gt;"",$M$12,""))))</f>
        <v/>
      </c>
    </row>
    <row r="317" spans="13:13" x14ac:dyDescent="0.35">
      <c r="M317" t="str">
        <f>IF(IFERROR(LOOKUP(2,1/(COUNTIF($M$9:M315,$E$12:$E$78)=0),$E$12:$E$78),IF($M$12=M316,"",IF(M316&lt;&gt;"",$M$12,"")))=0,"",IFERROR(LOOKUP(2,1/(COUNTIF($M$9:M315,$E$12:$E$78)=0),$E$12:$E$78),IF($M$12=M316,"",IF(M316&lt;&gt;"",$M$12,""))))</f>
        <v/>
      </c>
    </row>
    <row r="318" spans="13:13" x14ac:dyDescent="0.35">
      <c r="M318" t="str">
        <f>IF(IFERROR(LOOKUP(2,1/(COUNTIF($M$9:M316,$E$12:$E$78)=0),$E$12:$E$78),IF($M$12=M317,"",IF(M317&lt;&gt;"",$M$12,"")))=0,"",IFERROR(LOOKUP(2,1/(COUNTIF($M$9:M316,$E$12:$E$78)=0),$E$12:$E$78),IF($M$12=M317,"",IF(M317&lt;&gt;"",$M$12,""))))</f>
        <v/>
      </c>
    </row>
    <row r="319" spans="13:13" x14ac:dyDescent="0.35">
      <c r="M319" t="str">
        <f>IF(IFERROR(LOOKUP(2,1/(COUNTIF($M$9:M317,$E$12:$E$78)=0),$E$12:$E$78),IF($M$12=M318,"",IF(M318&lt;&gt;"",$M$12,"")))=0,"",IFERROR(LOOKUP(2,1/(COUNTIF($M$9:M317,$E$12:$E$78)=0),$E$12:$E$78),IF($M$12=M318,"",IF(M318&lt;&gt;"",$M$12,""))))</f>
        <v/>
      </c>
    </row>
    <row r="320" spans="13:13" x14ac:dyDescent="0.35">
      <c r="M320" t="str">
        <f>IF(IFERROR(LOOKUP(2,1/(COUNTIF($M$9:M318,$E$12:$E$78)=0),$E$12:$E$78),IF($M$12=M319,"",IF(M319&lt;&gt;"",$M$12,"")))=0,"",IFERROR(LOOKUP(2,1/(COUNTIF($M$9:M318,$E$12:$E$78)=0),$E$12:$E$78),IF($M$12=M319,"",IF(M319&lt;&gt;"",$M$12,""))))</f>
        <v/>
      </c>
    </row>
    <row r="321" spans="13:13" x14ac:dyDescent="0.35">
      <c r="M321" t="str">
        <f>IF(IFERROR(LOOKUP(2,1/(COUNTIF($M$9:M319,$E$12:$E$78)=0),$E$12:$E$78),IF($M$12=M320,"",IF(M320&lt;&gt;"",$M$12,"")))=0,"",IFERROR(LOOKUP(2,1/(COUNTIF($M$9:M319,$E$12:$E$78)=0),$E$12:$E$78),IF($M$12=M320,"",IF(M320&lt;&gt;"",$M$12,""))))</f>
        <v/>
      </c>
    </row>
    <row r="322" spans="13:13" x14ac:dyDescent="0.35">
      <c r="M322" t="str">
        <f>IF(IFERROR(LOOKUP(2,1/(COUNTIF($M$9:M320,$E$12:$E$78)=0),$E$12:$E$78),IF($M$12=M321,"",IF(M321&lt;&gt;"",$M$12,"")))=0,"",IFERROR(LOOKUP(2,1/(COUNTIF($M$9:M320,$E$12:$E$78)=0),$E$12:$E$78),IF($M$12=M321,"",IF(M321&lt;&gt;"",$M$12,""))))</f>
        <v/>
      </c>
    </row>
    <row r="323" spans="13:13" x14ac:dyDescent="0.35">
      <c r="M323" t="str">
        <f>IF(IFERROR(LOOKUP(2,1/(COUNTIF($M$9:M321,$E$12:$E$78)=0),$E$12:$E$78),IF($M$12=M322,"",IF(M322&lt;&gt;"",$M$12,"")))=0,"",IFERROR(LOOKUP(2,1/(COUNTIF($M$9:M321,$E$12:$E$78)=0),$E$12:$E$78),IF($M$12=M322,"",IF(M322&lt;&gt;"",$M$12,""))))</f>
        <v/>
      </c>
    </row>
    <row r="324" spans="13:13" x14ac:dyDescent="0.35">
      <c r="M324" t="str">
        <f>IF(IFERROR(LOOKUP(2,1/(COUNTIF($M$9:M322,$E$12:$E$78)=0),$E$12:$E$78),IF($M$12=M323,"",IF(M323&lt;&gt;"",$M$12,"")))=0,"",IFERROR(LOOKUP(2,1/(COUNTIF($M$9:M322,$E$12:$E$78)=0),$E$12:$E$78),IF($M$12=M323,"",IF(M323&lt;&gt;"",$M$12,""))))</f>
        <v/>
      </c>
    </row>
    <row r="325" spans="13:13" x14ac:dyDescent="0.35">
      <c r="M325" t="str">
        <f>IF(IFERROR(LOOKUP(2,1/(COUNTIF($M$9:M323,$E$12:$E$78)=0),$E$12:$E$78),IF($M$12=M324,"",IF(M324&lt;&gt;"",$M$12,"")))=0,"",IFERROR(LOOKUP(2,1/(COUNTIF($M$9:M323,$E$12:$E$78)=0),$E$12:$E$78),IF($M$12=M324,"",IF(M324&lt;&gt;"",$M$12,""))))</f>
        <v/>
      </c>
    </row>
    <row r="326" spans="13:13" x14ac:dyDescent="0.35">
      <c r="M326" t="str">
        <f>IF(IFERROR(LOOKUP(2,1/(COUNTIF($M$9:M324,$E$12:$E$78)=0),$E$12:$E$78),IF($M$12=M325,"",IF(M325&lt;&gt;"",$M$12,"")))=0,"",IFERROR(LOOKUP(2,1/(COUNTIF($M$9:M324,$E$12:$E$78)=0),$E$12:$E$78),IF($M$12=M325,"",IF(M325&lt;&gt;"",$M$12,""))))</f>
        <v/>
      </c>
    </row>
    <row r="327" spans="13:13" x14ac:dyDescent="0.35">
      <c r="M327" t="str">
        <f>IF(IFERROR(LOOKUP(2,1/(COUNTIF($M$9:M325,$E$12:$E$78)=0),$E$12:$E$78),IF($M$12=M326,"",IF(M326&lt;&gt;"",$M$12,"")))=0,"",IFERROR(LOOKUP(2,1/(COUNTIF($M$9:M325,$E$12:$E$78)=0),$E$12:$E$78),IF($M$12=M326,"",IF(M326&lt;&gt;"",$M$12,""))))</f>
        <v/>
      </c>
    </row>
    <row r="328" spans="13:13" x14ac:dyDescent="0.35">
      <c r="M328" t="str">
        <f>IF(IFERROR(LOOKUP(2,1/(COUNTIF($M$9:M326,$E$12:$E$78)=0),$E$12:$E$78),IF($M$12=M327,"",IF(M327&lt;&gt;"",$M$12,"")))=0,"",IFERROR(LOOKUP(2,1/(COUNTIF($M$9:M326,$E$12:$E$78)=0),$E$12:$E$78),IF($M$12=M327,"",IF(M327&lt;&gt;"",$M$12,""))))</f>
        <v/>
      </c>
    </row>
    <row r="329" spans="13:13" x14ac:dyDescent="0.35">
      <c r="M329" t="str">
        <f>IF(IFERROR(LOOKUP(2,1/(COUNTIF($M$9:M327,$E$12:$E$78)=0),$E$12:$E$78),IF($M$12=M328,"",IF(M328&lt;&gt;"",$M$12,"")))=0,"",IFERROR(LOOKUP(2,1/(COUNTIF($M$9:M327,$E$12:$E$78)=0),$E$12:$E$78),IF($M$12=M328,"",IF(M328&lt;&gt;"",$M$12,""))))</f>
        <v/>
      </c>
    </row>
    <row r="330" spans="13:13" x14ac:dyDescent="0.35">
      <c r="M330" t="str">
        <f>IF(IFERROR(LOOKUP(2,1/(COUNTIF($M$9:M328,$E$12:$E$78)=0),$E$12:$E$78),IF($M$12=M329,"",IF(M329&lt;&gt;"",$M$12,"")))=0,"",IFERROR(LOOKUP(2,1/(COUNTIF($M$9:M328,$E$12:$E$78)=0),$E$12:$E$78),IF($M$12=M329,"",IF(M329&lt;&gt;"",$M$12,""))))</f>
        <v/>
      </c>
    </row>
    <row r="331" spans="13:13" x14ac:dyDescent="0.35">
      <c r="M331" t="str">
        <f>IF(IFERROR(LOOKUP(2,1/(COUNTIF($M$9:M329,$E$12:$E$78)=0),$E$12:$E$78),IF($M$12=M330,"",IF(M330&lt;&gt;"",$M$12,"")))=0,"",IFERROR(LOOKUP(2,1/(COUNTIF($M$9:M329,$E$12:$E$78)=0),$E$12:$E$78),IF($M$12=M330,"",IF(M330&lt;&gt;"",$M$12,""))))</f>
        <v/>
      </c>
    </row>
    <row r="332" spans="13:13" x14ac:dyDescent="0.35">
      <c r="M332" t="str">
        <f>IF(IFERROR(LOOKUP(2,1/(COUNTIF($M$9:M330,$E$12:$E$78)=0),$E$12:$E$78),IF($M$12=M331,"",IF(M331&lt;&gt;"",$M$12,"")))=0,"",IFERROR(LOOKUP(2,1/(COUNTIF($M$9:M330,$E$12:$E$78)=0),$E$12:$E$78),IF($M$12=M331,"",IF(M331&lt;&gt;"",$M$12,""))))</f>
        <v/>
      </c>
    </row>
    <row r="333" spans="13:13" x14ac:dyDescent="0.35">
      <c r="M333" t="str">
        <f>IF(IFERROR(LOOKUP(2,1/(COUNTIF($M$9:M331,$E$12:$E$78)=0),$E$12:$E$78),IF($M$12=M332,"",IF(M332&lt;&gt;"",$M$12,"")))=0,"",IFERROR(LOOKUP(2,1/(COUNTIF($M$9:M331,$E$12:$E$78)=0),$E$12:$E$78),IF($M$12=M332,"",IF(M332&lt;&gt;"",$M$12,""))))</f>
        <v/>
      </c>
    </row>
    <row r="334" spans="13:13" x14ac:dyDescent="0.35">
      <c r="M334" t="str">
        <f>IF(IFERROR(LOOKUP(2,1/(COUNTIF($M$9:M332,$E$12:$E$78)=0),$E$12:$E$78),IF($M$12=M333,"",IF(M333&lt;&gt;"",$M$12,"")))=0,"",IFERROR(LOOKUP(2,1/(COUNTIF($M$9:M332,$E$12:$E$78)=0),$E$12:$E$78),IF($M$12=M333,"",IF(M333&lt;&gt;"",$M$12,""))))</f>
        <v/>
      </c>
    </row>
    <row r="335" spans="13:13" x14ac:dyDescent="0.35">
      <c r="M335" t="str">
        <f>IF(IFERROR(LOOKUP(2,1/(COUNTIF($M$9:M333,$E$12:$E$78)=0),$E$12:$E$78),IF($M$12=M334,"",IF(M334&lt;&gt;"",$M$12,"")))=0,"",IFERROR(LOOKUP(2,1/(COUNTIF($M$9:M333,$E$12:$E$78)=0),$E$12:$E$78),IF($M$12=M334,"",IF(M334&lt;&gt;"",$M$12,""))))</f>
        <v/>
      </c>
    </row>
    <row r="336" spans="13:13" x14ac:dyDescent="0.35">
      <c r="M336" t="str">
        <f>IF(IFERROR(LOOKUP(2,1/(COUNTIF($M$9:M334,$E$12:$E$78)=0),$E$12:$E$78),IF($M$12=M335,"",IF(M335&lt;&gt;"",$M$12,"")))=0,"",IFERROR(LOOKUP(2,1/(COUNTIF($M$9:M334,$E$12:$E$78)=0),$E$12:$E$78),IF($M$12=M335,"",IF(M335&lt;&gt;"",$M$12,""))))</f>
        <v/>
      </c>
    </row>
    <row r="337" spans="13:13" x14ac:dyDescent="0.35">
      <c r="M337" t="str">
        <f>IF(IFERROR(LOOKUP(2,1/(COUNTIF($M$9:M335,$E$12:$E$78)=0),$E$12:$E$78),IF($M$12=M336,"",IF(M336&lt;&gt;"",$M$12,"")))=0,"",IFERROR(LOOKUP(2,1/(COUNTIF($M$9:M335,$E$12:$E$78)=0),$E$12:$E$78),IF($M$12=M336,"",IF(M336&lt;&gt;"",$M$12,""))))</f>
        <v/>
      </c>
    </row>
    <row r="338" spans="13:13" x14ac:dyDescent="0.35">
      <c r="M338" t="str">
        <f>IF(IFERROR(LOOKUP(2,1/(COUNTIF($M$9:M336,$E$12:$E$78)=0),$E$12:$E$78),IF($M$12=M337,"",IF(M337&lt;&gt;"",$M$12,"")))=0,"",IFERROR(LOOKUP(2,1/(COUNTIF($M$9:M336,$E$12:$E$78)=0),$E$12:$E$78),IF($M$12=M337,"",IF(M337&lt;&gt;"",$M$12,""))))</f>
        <v/>
      </c>
    </row>
    <row r="339" spans="13:13" x14ac:dyDescent="0.35">
      <c r="M339" t="str">
        <f>IF(IFERROR(LOOKUP(2,1/(COUNTIF($M$9:M337,$E$12:$E$78)=0),$E$12:$E$78),IF($M$12=M338,"",IF(M338&lt;&gt;"",$M$12,"")))=0,"",IFERROR(LOOKUP(2,1/(COUNTIF($M$9:M337,$E$12:$E$78)=0),$E$12:$E$78),IF($M$12=M338,"",IF(M338&lt;&gt;"",$M$12,""))))</f>
        <v/>
      </c>
    </row>
    <row r="340" spans="13:13" x14ac:dyDescent="0.35">
      <c r="M340" t="str">
        <f>IF(IFERROR(LOOKUP(2,1/(COUNTIF($M$9:M338,$E$12:$E$78)=0),$E$12:$E$78),IF($M$12=M339,"",IF(M339&lt;&gt;"",$M$12,"")))=0,"",IFERROR(LOOKUP(2,1/(COUNTIF($M$9:M338,$E$12:$E$78)=0),$E$12:$E$78),IF($M$12=M339,"",IF(M339&lt;&gt;"",$M$12,""))))</f>
        <v/>
      </c>
    </row>
    <row r="341" spans="13:13" x14ac:dyDescent="0.35">
      <c r="M341" t="str">
        <f>IF(IFERROR(LOOKUP(2,1/(COUNTIF($M$9:M339,$E$12:$E$78)=0),$E$12:$E$78),IF($M$12=M340,"",IF(M340&lt;&gt;"",$M$12,"")))=0,"",IFERROR(LOOKUP(2,1/(COUNTIF($M$9:M339,$E$12:$E$78)=0),$E$12:$E$78),IF($M$12=M340,"",IF(M340&lt;&gt;"",$M$12,""))))</f>
        <v/>
      </c>
    </row>
    <row r="342" spans="13:13" x14ac:dyDescent="0.35">
      <c r="M342" t="str">
        <f>IF(IFERROR(LOOKUP(2,1/(COUNTIF($M$9:M340,$E$12:$E$78)=0),$E$12:$E$78),IF($M$12=M341,"",IF(M341&lt;&gt;"",$M$12,"")))=0,"",IFERROR(LOOKUP(2,1/(COUNTIF($M$9:M340,$E$12:$E$78)=0),$E$12:$E$78),IF($M$12=M341,"",IF(M341&lt;&gt;"",$M$12,""))))</f>
        <v/>
      </c>
    </row>
    <row r="343" spans="13:13" x14ac:dyDescent="0.35">
      <c r="M343" t="str">
        <f>IF(IFERROR(LOOKUP(2,1/(COUNTIF($M$9:M341,$E$12:$E$78)=0),$E$12:$E$78),IF($M$12=M342,"",IF(M342&lt;&gt;"",$M$12,"")))=0,"",IFERROR(LOOKUP(2,1/(COUNTIF($M$9:M341,$E$12:$E$78)=0),$E$12:$E$78),IF($M$12=M342,"",IF(M342&lt;&gt;"",$M$12,""))))</f>
        <v/>
      </c>
    </row>
    <row r="344" spans="13:13" x14ac:dyDescent="0.35">
      <c r="M344" t="str">
        <f>IF(IFERROR(LOOKUP(2,1/(COUNTIF($M$9:M342,$E$12:$E$78)=0),$E$12:$E$78),IF($M$12=M343,"",IF(M343&lt;&gt;"",$M$12,"")))=0,"",IFERROR(LOOKUP(2,1/(COUNTIF($M$9:M342,$E$12:$E$78)=0),$E$12:$E$78),IF($M$12=M343,"",IF(M343&lt;&gt;"",$M$12,""))))</f>
        <v/>
      </c>
    </row>
    <row r="345" spans="13:13" x14ac:dyDescent="0.35">
      <c r="M345" t="str">
        <f>IF(IFERROR(LOOKUP(2,1/(COUNTIF($M$9:M343,$E$12:$E$78)=0),$E$12:$E$78),IF($M$12=M344,"",IF(M344&lt;&gt;"",$M$12,"")))=0,"",IFERROR(LOOKUP(2,1/(COUNTIF($M$9:M343,$E$12:$E$78)=0),$E$12:$E$78),IF($M$12=M344,"",IF(M344&lt;&gt;"",$M$12,""))))</f>
        <v/>
      </c>
    </row>
    <row r="346" spans="13:13" x14ac:dyDescent="0.35">
      <c r="M346" t="str">
        <f>IF(IFERROR(LOOKUP(2,1/(COUNTIF($M$9:M344,$E$12:$E$78)=0),$E$12:$E$78),IF($M$12=M345,"",IF(M345&lt;&gt;"",$M$12,"")))=0,"",IFERROR(LOOKUP(2,1/(COUNTIF($M$9:M344,$E$12:$E$78)=0),$E$12:$E$78),IF($M$12=M345,"",IF(M345&lt;&gt;"",$M$12,""))))</f>
        <v/>
      </c>
    </row>
    <row r="347" spans="13:13" x14ac:dyDescent="0.35">
      <c r="M347" t="str">
        <f>IF(IFERROR(LOOKUP(2,1/(COUNTIF($M$9:M345,$E$12:$E$78)=0),$E$12:$E$78),IF($M$12=M346,"",IF(M346&lt;&gt;"",$M$12,"")))=0,"",IFERROR(LOOKUP(2,1/(COUNTIF($M$9:M345,$E$12:$E$78)=0),$E$12:$E$78),IF($M$12=M346,"",IF(M346&lt;&gt;"",$M$12,""))))</f>
        <v/>
      </c>
    </row>
    <row r="348" spans="13:13" x14ac:dyDescent="0.35">
      <c r="M348" t="str">
        <f>IF(IFERROR(LOOKUP(2,1/(COUNTIF($M$9:M346,$E$12:$E$78)=0),$E$12:$E$78),IF($M$12=M347,"",IF(M347&lt;&gt;"",$M$12,"")))=0,"",IFERROR(LOOKUP(2,1/(COUNTIF($M$9:M346,$E$12:$E$78)=0),$E$12:$E$78),IF($M$12=M347,"",IF(M347&lt;&gt;"",$M$12,""))))</f>
        <v/>
      </c>
    </row>
    <row r="349" spans="13:13" x14ac:dyDescent="0.35">
      <c r="M349" t="str">
        <f>IF(IFERROR(LOOKUP(2,1/(COUNTIF($M$9:M347,$E$12:$E$78)=0),$E$12:$E$78),IF($M$12=M348,"",IF(M348&lt;&gt;"",$M$12,"")))=0,"",IFERROR(LOOKUP(2,1/(COUNTIF($M$9:M347,$E$12:$E$78)=0),$E$12:$E$78),IF($M$12=M348,"",IF(M348&lt;&gt;"",$M$12,""))))</f>
        <v/>
      </c>
    </row>
    <row r="350" spans="13:13" x14ac:dyDescent="0.35">
      <c r="M350" t="str">
        <f>IF(IFERROR(LOOKUP(2,1/(COUNTIF($M$9:M348,$E$12:$E$78)=0),$E$12:$E$78),IF($M$12=M349,"",IF(M349&lt;&gt;"",$M$12,"")))=0,"",IFERROR(LOOKUP(2,1/(COUNTIF($M$9:M348,$E$12:$E$78)=0),$E$12:$E$78),IF($M$12=M349,"",IF(M349&lt;&gt;"",$M$12,""))))</f>
        <v/>
      </c>
    </row>
    <row r="351" spans="13:13" x14ac:dyDescent="0.35">
      <c r="M351" t="str">
        <f>IF(IFERROR(LOOKUP(2,1/(COUNTIF($M$9:M349,$E$12:$E$78)=0),$E$12:$E$78),IF($M$12=M350,"",IF(M350&lt;&gt;"",$M$12,"")))=0,"",IFERROR(LOOKUP(2,1/(COUNTIF($M$9:M349,$E$12:$E$78)=0),$E$12:$E$78),IF($M$12=M350,"",IF(M350&lt;&gt;"",$M$12,""))))</f>
        <v/>
      </c>
    </row>
    <row r="352" spans="13:13" x14ac:dyDescent="0.35">
      <c r="M352" t="str">
        <f>IF(IFERROR(LOOKUP(2,1/(COUNTIF($M$9:M350,$E$12:$E$78)=0),$E$12:$E$78),IF($M$12=M351,"",IF(M351&lt;&gt;"",$M$12,"")))=0,"",IFERROR(LOOKUP(2,1/(COUNTIF($M$9:M350,$E$12:$E$78)=0),$E$12:$E$78),IF($M$12=M351,"",IF(M351&lt;&gt;"",$M$12,""))))</f>
        <v/>
      </c>
    </row>
    <row r="353" spans="13:13" x14ac:dyDescent="0.35">
      <c r="M353" t="str">
        <f>IF(IFERROR(LOOKUP(2,1/(COUNTIF($M$9:M351,$E$12:$E$78)=0),$E$12:$E$78),IF($M$12=M352,"",IF(M352&lt;&gt;"",$M$12,"")))=0,"",IFERROR(LOOKUP(2,1/(COUNTIF($M$9:M351,$E$12:$E$78)=0),$E$12:$E$78),IF($M$12=M352,"",IF(M352&lt;&gt;"",$M$12,""))))</f>
        <v/>
      </c>
    </row>
    <row r="354" spans="13:13" x14ac:dyDescent="0.35">
      <c r="M354" t="str">
        <f>IF(IFERROR(LOOKUP(2,1/(COUNTIF($M$9:M352,$E$12:$E$78)=0),$E$12:$E$78),IF($M$12=M353,"",IF(M353&lt;&gt;"",$M$12,"")))=0,"",IFERROR(LOOKUP(2,1/(COUNTIF($M$9:M352,$E$12:$E$78)=0),$E$12:$E$78),IF($M$12=M353,"",IF(M353&lt;&gt;"",$M$12,""))))</f>
        <v/>
      </c>
    </row>
    <row r="355" spans="13:13" x14ac:dyDescent="0.35">
      <c r="M355" t="str">
        <f>IF(IFERROR(LOOKUP(2,1/(COUNTIF($M$9:M353,$E$12:$E$78)=0),$E$12:$E$78),IF($M$12=M354,"",IF(M354&lt;&gt;"",$M$12,"")))=0,"",IFERROR(LOOKUP(2,1/(COUNTIF($M$9:M353,$E$12:$E$78)=0),$E$12:$E$78),IF($M$12=M354,"",IF(M354&lt;&gt;"",$M$12,""))))</f>
        <v/>
      </c>
    </row>
    <row r="356" spans="13:13" x14ac:dyDescent="0.35">
      <c r="M356" t="str">
        <f>IF(IFERROR(LOOKUP(2,1/(COUNTIF($M$9:M354,$E$12:$E$78)=0),$E$12:$E$78),IF($M$12=M355,"",IF(M355&lt;&gt;"",$M$12,"")))=0,"",IFERROR(LOOKUP(2,1/(COUNTIF($M$9:M354,$E$12:$E$78)=0),$E$12:$E$78),IF($M$12=M355,"",IF(M355&lt;&gt;"",$M$12,""))))</f>
        <v/>
      </c>
    </row>
    <row r="357" spans="13:13" x14ac:dyDescent="0.35">
      <c r="M357" t="str">
        <f>IF(IFERROR(LOOKUP(2,1/(COUNTIF($M$9:M355,$E$12:$E$78)=0),$E$12:$E$78),IF($M$12=M356,"",IF(M356&lt;&gt;"",$M$12,"")))=0,"",IFERROR(LOOKUP(2,1/(COUNTIF($M$9:M355,$E$12:$E$78)=0),$E$12:$E$78),IF($M$12=M356,"",IF(M356&lt;&gt;"",$M$12,""))))</f>
        <v/>
      </c>
    </row>
    <row r="358" spans="13:13" x14ac:dyDescent="0.35">
      <c r="M358" t="str">
        <f>IF(IFERROR(LOOKUP(2,1/(COUNTIF($M$9:M356,$E$12:$E$78)=0),$E$12:$E$78),IF($M$12=M357,"",IF(M357&lt;&gt;"",$M$12,"")))=0,"",IFERROR(LOOKUP(2,1/(COUNTIF($M$9:M356,$E$12:$E$78)=0),$E$12:$E$78),IF($M$12=M357,"",IF(M357&lt;&gt;"",$M$12,""))))</f>
        <v/>
      </c>
    </row>
    <row r="359" spans="13:13" x14ac:dyDescent="0.35">
      <c r="M359" t="str">
        <f>IF(IFERROR(LOOKUP(2,1/(COUNTIF($M$9:M357,$E$12:$E$78)=0),$E$12:$E$78),IF($M$12=M358,"",IF(M358&lt;&gt;"",$M$12,"")))=0,"",IFERROR(LOOKUP(2,1/(COUNTIF($M$9:M357,$E$12:$E$78)=0),$E$12:$E$78),IF($M$12=M358,"",IF(M358&lt;&gt;"",$M$12,""))))</f>
        <v/>
      </c>
    </row>
    <row r="360" spans="13:13" x14ac:dyDescent="0.35">
      <c r="M360" t="str">
        <f>IF(IFERROR(LOOKUP(2,1/(COUNTIF($M$9:M358,$E$12:$E$78)=0),$E$12:$E$78),IF($M$12=M359,"",IF(M359&lt;&gt;"",$M$12,"")))=0,"",IFERROR(LOOKUP(2,1/(COUNTIF($M$9:M358,$E$12:$E$78)=0),$E$12:$E$78),IF($M$12=M359,"",IF(M359&lt;&gt;"",$M$12,""))))</f>
        <v/>
      </c>
    </row>
    <row r="361" spans="13:13" x14ac:dyDescent="0.35">
      <c r="M361" t="str">
        <f>IF(IFERROR(LOOKUP(2,1/(COUNTIF($M$9:M359,$E$12:$E$78)=0),$E$12:$E$78),IF($M$12=M360,"",IF(M360&lt;&gt;"",$M$12,"")))=0,"",IFERROR(LOOKUP(2,1/(COUNTIF($M$9:M359,$E$12:$E$78)=0),$E$12:$E$78),IF($M$12=M360,"",IF(M360&lt;&gt;"",$M$12,""))))</f>
        <v/>
      </c>
    </row>
    <row r="362" spans="13:13" x14ac:dyDescent="0.35">
      <c r="M362" t="str">
        <f>IF(IFERROR(LOOKUP(2,1/(COUNTIF($M$9:M360,$E$12:$E$78)=0),$E$12:$E$78),IF($M$12=M361,"",IF(M361&lt;&gt;"",$M$12,"")))=0,"",IFERROR(LOOKUP(2,1/(COUNTIF($M$9:M360,$E$12:$E$78)=0),$E$12:$E$78),IF($M$12=M361,"",IF(M361&lt;&gt;"",$M$12,""))))</f>
        <v/>
      </c>
    </row>
    <row r="363" spans="13:13" x14ac:dyDescent="0.35">
      <c r="M363" t="str">
        <f>IF(IFERROR(LOOKUP(2,1/(COUNTIF($M$9:M361,$E$12:$E$78)=0),$E$12:$E$78),IF($M$12=M362,"",IF(M362&lt;&gt;"",$M$12,"")))=0,"",IFERROR(LOOKUP(2,1/(COUNTIF($M$9:M361,$E$12:$E$78)=0),$E$12:$E$78),IF($M$12=M362,"",IF(M362&lt;&gt;"",$M$12,""))))</f>
        <v/>
      </c>
    </row>
    <row r="364" spans="13:13" x14ac:dyDescent="0.35">
      <c r="M364" t="str">
        <f>IF(IFERROR(LOOKUP(2,1/(COUNTIF($M$9:M362,$E$12:$E$78)=0),$E$12:$E$78),IF($M$12=M363,"",IF(M363&lt;&gt;"",$M$12,"")))=0,"",IFERROR(LOOKUP(2,1/(COUNTIF($M$9:M362,$E$12:$E$78)=0),$E$12:$E$78),IF($M$12=M363,"",IF(M363&lt;&gt;"",$M$12,""))))</f>
        <v/>
      </c>
    </row>
    <row r="365" spans="13:13" x14ac:dyDescent="0.35">
      <c r="M365" t="str">
        <f>IF(IFERROR(LOOKUP(2,1/(COUNTIF($M$9:M363,$E$12:$E$78)=0),$E$12:$E$78),IF($M$12=M364,"",IF(M364&lt;&gt;"",$M$12,"")))=0,"",IFERROR(LOOKUP(2,1/(COUNTIF($M$9:M363,$E$12:$E$78)=0),$E$12:$E$78),IF($M$12=M364,"",IF(M364&lt;&gt;"",$M$12,""))))</f>
        <v/>
      </c>
    </row>
    <row r="366" spans="13:13" x14ac:dyDescent="0.35">
      <c r="M366" t="str">
        <f>IF(IFERROR(LOOKUP(2,1/(COUNTIF($M$9:M364,$E$12:$E$78)=0),$E$12:$E$78),IF($M$12=M365,"",IF(M365&lt;&gt;"",$M$12,"")))=0,"",IFERROR(LOOKUP(2,1/(COUNTIF($M$9:M364,$E$12:$E$78)=0),$E$12:$E$78),IF($M$12=M365,"",IF(M365&lt;&gt;"",$M$12,""))))</f>
        <v/>
      </c>
    </row>
    <row r="367" spans="13:13" x14ac:dyDescent="0.35">
      <c r="M367" t="str">
        <f>IF(IFERROR(LOOKUP(2,1/(COUNTIF($M$9:M365,$E$12:$E$78)=0),$E$12:$E$78),IF($M$12=M366,"",IF(M366&lt;&gt;"",$M$12,"")))=0,"",IFERROR(LOOKUP(2,1/(COUNTIF($M$9:M365,$E$12:$E$78)=0),$E$12:$E$78),IF($M$12=M366,"",IF(M366&lt;&gt;"",$M$12,""))))</f>
        <v/>
      </c>
    </row>
    <row r="368" spans="13:13" x14ac:dyDescent="0.35">
      <c r="M368" t="str">
        <f>IF(IFERROR(LOOKUP(2,1/(COUNTIF($M$9:M366,$E$12:$E$78)=0),$E$12:$E$78),IF($M$12=M367,"",IF(M367&lt;&gt;"",$M$12,"")))=0,"",IFERROR(LOOKUP(2,1/(COUNTIF($M$9:M366,$E$12:$E$78)=0),$E$12:$E$78),IF($M$12=M367,"",IF(M367&lt;&gt;"",$M$12,""))))</f>
        <v/>
      </c>
    </row>
    <row r="369" spans="13:13" x14ac:dyDescent="0.35">
      <c r="M369" t="str">
        <f>IF(IFERROR(LOOKUP(2,1/(COUNTIF($M$9:M367,$E$12:$E$78)=0),$E$12:$E$78),IF($M$12=M368,"",IF(M368&lt;&gt;"",$M$12,"")))=0,"",IFERROR(LOOKUP(2,1/(COUNTIF($M$9:M367,$E$12:$E$78)=0),$E$12:$E$78),IF($M$12=M368,"",IF(M368&lt;&gt;"",$M$12,""))))</f>
        <v/>
      </c>
    </row>
    <row r="370" spans="13:13" x14ac:dyDescent="0.35">
      <c r="M370" t="str">
        <f>IF(IFERROR(LOOKUP(2,1/(COUNTIF($M$9:M368,$E$12:$E$78)=0),$E$12:$E$78),IF($M$12=M369,"",IF(M369&lt;&gt;"",$M$12,"")))=0,"",IFERROR(LOOKUP(2,1/(COUNTIF($M$9:M368,$E$12:$E$78)=0),$E$12:$E$78),IF($M$12=M369,"",IF(M369&lt;&gt;"",$M$12,""))))</f>
        <v/>
      </c>
    </row>
    <row r="371" spans="13:13" x14ac:dyDescent="0.35">
      <c r="M371" t="str">
        <f>IF(IFERROR(LOOKUP(2,1/(COUNTIF($M$9:M369,$E$12:$E$78)=0),$E$12:$E$78),IF($M$12=M370,"",IF(M370&lt;&gt;"",$M$12,"")))=0,"",IFERROR(LOOKUP(2,1/(COUNTIF($M$9:M369,$E$12:$E$78)=0),$E$12:$E$78),IF($M$12=M370,"",IF(M370&lt;&gt;"",$M$12,""))))</f>
        <v/>
      </c>
    </row>
    <row r="372" spans="13:13" x14ac:dyDescent="0.35">
      <c r="M372" t="str">
        <f>IF(IFERROR(LOOKUP(2,1/(COUNTIF($M$9:M370,$E$12:$E$78)=0),$E$12:$E$78),IF($M$12=M371,"",IF(M371&lt;&gt;"",$M$12,"")))=0,"",IFERROR(LOOKUP(2,1/(COUNTIF($M$9:M370,$E$12:$E$78)=0),$E$12:$E$78),IF($M$12=M371,"",IF(M371&lt;&gt;"",$M$12,""))))</f>
        <v/>
      </c>
    </row>
    <row r="373" spans="13:13" x14ac:dyDescent="0.35">
      <c r="M373" t="str">
        <f>IF(IFERROR(LOOKUP(2,1/(COUNTIF($M$9:M371,$E$12:$E$78)=0),$E$12:$E$78),IF($M$12=M372,"",IF(M372&lt;&gt;"",$M$12,"")))=0,"",IFERROR(LOOKUP(2,1/(COUNTIF($M$9:M371,$E$12:$E$78)=0),$E$12:$E$78),IF($M$12=M372,"",IF(M372&lt;&gt;"",$M$12,""))))</f>
        <v/>
      </c>
    </row>
    <row r="374" spans="13:13" x14ac:dyDescent="0.35">
      <c r="M374" t="str">
        <f>IF(IFERROR(LOOKUP(2,1/(COUNTIF($M$9:M372,$E$12:$E$78)=0),$E$12:$E$78),IF($M$12=M373,"",IF(M373&lt;&gt;"",$M$12,"")))=0,"",IFERROR(LOOKUP(2,1/(COUNTIF($M$9:M372,$E$12:$E$78)=0),$E$12:$E$78),IF($M$12=M373,"",IF(M373&lt;&gt;"",$M$12,""))))</f>
        <v/>
      </c>
    </row>
    <row r="375" spans="13:13" x14ac:dyDescent="0.35">
      <c r="M375" t="str">
        <f>IF(IFERROR(LOOKUP(2,1/(COUNTIF($M$9:M373,$E$12:$E$78)=0),$E$12:$E$78),IF($M$12=M374,"",IF(M374&lt;&gt;"",$M$12,"")))=0,"",IFERROR(LOOKUP(2,1/(COUNTIF($M$9:M373,$E$12:$E$78)=0),$E$12:$E$78),IF($M$12=M374,"",IF(M374&lt;&gt;"",$M$12,""))))</f>
        <v/>
      </c>
    </row>
    <row r="376" spans="13:13" x14ac:dyDescent="0.35">
      <c r="M376" t="str">
        <f>IF(IFERROR(LOOKUP(2,1/(COUNTIF($M$9:M374,$E$12:$E$78)=0),$E$12:$E$78),IF($M$12=M375,"",IF(M375&lt;&gt;"",$M$12,"")))=0,"",IFERROR(LOOKUP(2,1/(COUNTIF($M$9:M374,$E$12:$E$78)=0),$E$12:$E$78),IF($M$12=M375,"",IF(M375&lt;&gt;"",$M$12,""))))</f>
        <v/>
      </c>
    </row>
    <row r="377" spans="13:13" x14ac:dyDescent="0.35">
      <c r="M377" t="str">
        <f>IF(IFERROR(LOOKUP(2,1/(COUNTIF($M$9:M375,$E$12:$E$78)=0),$E$12:$E$78),IF($M$12=M376,"",IF(M376&lt;&gt;"",$M$12,"")))=0,"",IFERROR(LOOKUP(2,1/(COUNTIF($M$9:M375,$E$12:$E$78)=0),$E$12:$E$78),IF($M$12=M376,"",IF(M376&lt;&gt;"",$M$12,""))))</f>
        <v/>
      </c>
    </row>
    <row r="378" spans="13:13" x14ac:dyDescent="0.35">
      <c r="M378" t="str">
        <f>IF(IFERROR(LOOKUP(2,1/(COUNTIF($M$9:M376,$E$12:$E$78)=0),$E$12:$E$78),IF($M$12=M377,"",IF(M377&lt;&gt;"",$M$12,"")))=0,"",IFERROR(LOOKUP(2,1/(COUNTIF($M$9:M376,$E$12:$E$78)=0),$E$12:$E$78),IF($M$12=M377,"",IF(M377&lt;&gt;"",$M$12,""))))</f>
        <v/>
      </c>
    </row>
    <row r="379" spans="13:13" x14ac:dyDescent="0.35">
      <c r="M379" t="str">
        <f>IF(IFERROR(LOOKUP(2,1/(COUNTIF($M$9:M377,$E$12:$E$78)=0),$E$12:$E$78),IF($M$12=M378,"",IF(M378&lt;&gt;"",$M$12,"")))=0,"",IFERROR(LOOKUP(2,1/(COUNTIF($M$9:M377,$E$12:$E$78)=0),$E$12:$E$78),IF($M$12=M378,"",IF(M378&lt;&gt;"",$M$12,""))))</f>
        <v/>
      </c>
    </row>
    <row r="380" spans="13:13" x14ac:dyDescent="0.35">
      <c r="M380" t="str">
        <f>IF(IFERROR(LOOKUP(2,1/(COUNTIF($M$9:M378,$E$12:$E$78)=0),$E$12:$E$78),IF($M$12=M379,"",IF(M379&lt;&gt;"",$M$12,"")))=0,"",IFERROR(LOOKUP(2,1/(COUNTIF($M$9:M378,$E$12:$E$78)=0),$E$12:$E$78),IF($M$12=M379,"",IF(M379&lt;&gt;"",$M$12,""))))</f>
        <v/>
      </c>
    </row>
    <row r="381" spans="13:13" x14ac:dyDescent="0.35">
      <c r="M381" t="str">
        <f>IF(IFERROR(LOOKUP(2,1/(COUNTIF($M$9:M379,$E$12:$E$78)=0),$E$12:$E$78),IF($M$12=M380,"",IF(M380&lt;&gt;"",$M$12,"")))=0,"",IFERROR(LOOKUP(2,1/(COUNTIF($M$9:M379,$E$12:$E$78)=0),$E$12:$E$78),IF($M$12=M380,"",IF(M380&lt;&gt;"",$M$12,""))))</f>
        <v/>
      </c>
    </row>
    <row r="382" spans="13:13" x14ac:dyDescent="0.35">
      <c r="M382" t="str">
        <f>IF(IFERROR(LOOKUP(2,1/(COUNTIF($M$9:M380,$E$12:$E$78)=0),$E$12:$E$78),IF($M$12=M381,"",IF(M381&lt;&gt;"",$M$12,"")))=0,"",IFERROR(LOOKUP(2,1/(COUNTIF($M$9:M380,$E$12:$E$78)=0),$E$12:$E$78),IF($M$12=M381,"",IF(M381&lt;&gt;"",$M$12,""))))</f>
        <v/>
      </c>
    </row>
    <row r="383" spans="13:13" x14ac:dyDescent="0.35">
      <c r="M383" t="str">
        <f>IF(IFERROR(LOOKUP(2,1/(COUNTIF($M$9:M381,$E$12:$E$78)=0),$E$12:$E$78),IF($M$12=M382,"",IF(M382&lt;&gt;"",$M$12,"")))=0,"",IFERROR(LOOKUP(2,1/(COUNTIF($M$9:M381,$E$12:$E$78)=0),$E$12:$E$78),IF($M$12=M382,"",IF(M382&lt;&gt;"",$M$12,""))))</f>
        <v/>
      </c>
    </row>
    <row r="384" spans="13:13" x14ac:dyDescent="0.35">
      <c r="M384" t="str">
        <f>IF(IFERROR(LOOKUP(2,1/(COUNTIF($M$9:M382,$E$12:$E$78)=0),$E$12:$E$78),IF($M$12=M383,"",IF(M383&lt;&gt;"",$M$12,"")))=0,"",IFERROR(LOOKUP(2,1/(COUNTIF($M$9:M382,$E$12:$E$78)=0),$E$12:$E$78),IF($M$12=M383,"",IF(M383&lt;&gt;"",$M$12,""))))</f>
        <v/>
      </c>
    </row>
    <row r="385" spans="13:13" x14ac:dyDescent="0.35">
      <c r="M385" t="str">
        <f>IF(IFERROR(LOOKUP(2,1/(COUNTIF($M$9:M383,$E$12:$E$78)=0),$E$12:$E$78),IF($M$12=M384,"",IF(M384&lt;&gt;"",$M$12,"")))=0,"",IFERROR(LOOKUP(2,1/(COUNTIF($M$9:M383,$E$12:$E$78)=0),$E$12:$E$78),IF($M$12=M384,"",IF(M384&lt;&gt;"",$M$12,""))))</f>
        <v/>
      </c>
    </row>
    <row r="386" spans="13:13" x14ac:dyDescent="0.35">
      <c r="M386" t="str">
        <f>IF(IFERROR(LOOKUP(2,1/(COUNTIF($M$9:M384,$E$12:$E$78)=0),$E$12:$E$78),IF($M$12=M385,"",IF(M385&lt;&gt;"",$M$12,"")))=0,"",IFERROR(LOOKUP(2,1/(COUNTIF($M$9:M384,$E$12:$E$78)=0),$E$12:$E$78),IF($M$12=M385,"",IF(M385&lt;&gt;"",$M$12,""))))</f>
        <v/>
      </c>
    </row>
    <row r="387" spans="13:13" x14ac:dyDescent="0.35">
      <c r="M387" t="str">
        <f>IF(IFERROR(LOOKUP(2,1/(COUNTIF($M$9:M385,$E$12:$E$78)=0),$E$12:$E$78),IF($M$12=M386,"",IF(M386&lt;&gt;"",$M$12,"")))=0,"",IFERROR(LOOKUP(2,1/(COUNTIF($M$9:M385,$E$12:$E$78)=0),$E$12:$E$78),IF($M$12=M386,"",IF(M386&lt;&gt;"",$M$12,""))))</f>
        <v/>
      </c>
    </row>
    <row r="388" spans="13:13" x14ac:dyDescent="0.35">
      <c r="M388" t="str">
        <f>IF(IFERROR(LOOKUP(2,1/(COUNTIF($M$9:M386,$E$12:$E$78)=0),$E$12:$E$78),IF($M$12=M387,"",IF(M387&lt;&gt;"",$M$12,"")))=0,"",IFERROR(LOOKUP(2,1/(COUNTIF($M$9:M386,$E$12:$E$78)=0),$E$12:$E$78),IF($M$12=M387,"",IF(M387&lt;&gt;"",$M$12,""))))</f>
        <v/>
      </c>
    </row>
    <row r="389" spans="13:13" x14ac:dyDescent="0.35">
      <c r="M389" t="str">
        <f>IF(IFERROR(LOOKUP(2,1/(COUNTIF($M$9:M387,$E$12:$E$78)=0),$E$12:$E$78),IF($M$12=M388,"",IF(M388&lt;&gt;"",$M$12,"")))=0,"",IFERROR(LOOKUP(2,1/(COUNTIF($M$9:M387,$E$12:$E$78)=0),$E$12:$E$78),IF($M$12=M388,"",IF(M388&lt;&gt;"",$M$12,""))))</f>
        <v/>
      </c>
    </row>
    <row r="390" spans="13:13" x14ac:dyDescent="0.35">
      <c r="M390" t="str">
        <f>IF(IFERROR(LOOKUP(2,1/(COUNTIF($M$9:M388,$E$12:$E$78)=0),$E$12:$E$78),IF($M$12=M389,"",IF(M389&lt;&gt;"",$M$12,"")))=0,"",IFERROR(LOOKUP(2,1/(COUNTIF($M$9:M388,$E$12:$E$78)=0),$E$12:$E$78),IF($M$12=M389,"",IF(M389&lt;&gt;"",$M$12,""))))</f>
        <v/>
      </c>
    </row>
    <row r="391" spans="13:13" x14ac:dyDescent="0.35">
      <c r="M391" t="str">
        <f>IF(IFERROR(LOOKUP(2,1/(COUNTIF($M$9:M389,$E$12:$E$78)=0),$E$12:$E$78),IF($M$12=M390,"",IF(M390&lt;&gt;"",$M$12,"")))=0,"",IFERROR(LOOKUP(2,1/(COUNTIF($M$9:M389,$E$12:$E$78)=0),$E$12:$E$78),IF($M$12=M390,"",IF(M390&lt;&gt;"",$M$12,""))))</f>
        <v/>
      </c>
    </row>
    <row r="392" spans="13:13" x14ac:dyDescent="0.35">
      <c r="M392" t="str">
        <f>IF(IFERROR(LOOKUP(2,1/(COUNTIF($M$9:M390,$E$12:$E$78)=0),$E$12:$E$78),IF($M$12=M391,"",IF(M391&lt;&gt;"",$M$12,"")))=0,"",IFERROR(LOOKUP(2,1/(COUNTIF($M$9:M390,$E$12:$E$78)=0),$E$12:$E$78),IF($M$12=M391,"",IF(M391&lt;&gt;"",$M$12,""))))</f>
        <v/>
      </c>
    </row>
    <row r="393" spans="13:13" x14ac:dyDescent="0.35">
      <c r="M393" t="str">
        <f>IF(IFERROR(LOOKUP(2,1/(COUNTIF($M$9:M391,$E$12:$E$78)=0),$E$12:$E$78),IF($M$12=M392,"",IF(M392&lt;&gt;"",$M$12,"")))=0,"",IFERROR(LOOKUP(2,1/(COUNTIF($M$9:M391,$E$12:$E$78)=0),$E$12:$E$78),IF($M$12=M392,"",IF(M392&lt;&gt;"",$M$12,""))))</f>
        <v/>
      </c>
    </row>
    <row r="394" spans="13:13" x14ac:dyDescent="0.35">
      <c r="M394" t="str">
        <f>IF(IFERROR(LOOKUP(2,1/(COUNTIF($M$9:M392,$E$12:$E$78)=0),$E$12:$E$78),IF($M$12=M393,"",IF(M393&lt;&gt;"",$M$12,"")))=0,"",IFERROR(LOOKUP(2,1/(COUNTIF($M$9:M392,$E$12:$E$78)=0),$E$12:$E$78),IF($M$12=M393,"",IF(M393&lt;&gt;"",$M$12,""))))</f>
        <v/>
      </c>
    </row>
    <row r="395" spans="13:13" x14ac:dyDescent="0.35">
      <c r="M395" t="str">
        <f>IF(IFERROR(LOOKUP(2,1/(COUNTIF($M$9:M393,$E$12:$E$78)=0),$E$12:$E$78),IF($M$12=M394,"",IF(M394&lt;&gt;"",$M$12,"")))=0,"",IFERROR(LOOKUP(2,1/(COUNTIF($M$9:M393,$E$12:$E$78)=0),$E$12:$E$78),IF($M$12=M394,"",IF(M394&lt;&gt;"",$M$12,""))))</f>
        <v/>
      </c>
    </row>
    <row r="396" spans="13:13" x14ac:dyDescent="0.35">
      <c r="M396" t="str">
        <f>IF(IFERROR(LOOKUP(2,1/(COUNTIF($M$9:M394,$E$12:$E$78)=0),$E$12:$E$78),IF($M$12=M395,"",IF(M395&lt;&gt;"",$M$12,"")))=0,"",IFERROR(LOOKUP(2,1/(COUNTIF($M$9:M394,$E$12:$E$78)=0),$E$12:$E$78),IF($M$12=M395,"",IF(M395&lt;&gt;"",$M$12,""))))</f>
        <v/>
      </c>
    </row>
    <row r="397" spans="13:13" x14ac:dyDescent="0.35">
      <c r="M397" t="str">
        <f>IF(IFERROR(LOOKUP(2,1/(COUNTIF($M$9:M395,$E$12:$E$78)=0),$E$12:$E$78),IF($M$12=M396,"",IF(M396&lt;&gt;"",$M$12,"")))=0,"",IFERROR(LOOKUP(2,1/(COUNTIF($M$9:M395,$E$12:$E$78)=0),$E$12:$E$78),IF($M$12=M396,"",IF(M396&lt;&gt;"",$M$12,""))))</f>
        <v/>
      </c>
    </row>
    <row r="398" spans="13:13" x14ac:dyDescent="0.35">
      <c r="M398" t="str">
        <f>IF(IFERROR(LOOKUP(2,1/(COUNTIF($M$9:M396,$E$12:$E$78)=0),$E$12:$E$78),IF($M$12=M397,"",IF(M397&lt;&gt;"",$M$12,"")))=0,"",IFERROR(LOOKUP(2,1/(COUNTIF($M$9:M396,$E$12:$E$78)=0),$E$12:$E$78),IF($M$12=M397,"",IF(M397&lt;&gt;"",$M$12,""))))</f>
        <v/>
      </c>
    </row>
    <row r="399" spans="13:13" x14ac:dyDescent="0.35">
      <c r="M399" t="str">
        <f>IF(IFERROR(LOOKUP(2,1/(COUNTIF($M$9:M397,$E$12:$E$78)=0),$E$12:$E$78),IF($M$12=M398,"",IF(M398&lt;&gt;"",$M$12,"")))=0,"",IFERROR(LOOKUP(2,1/(COUNTIF($M$9:M397,$E$12:$E$78)=0),$E$12:$E$78),IF($M$12=M398,"",IF(M398&lt;&gt;"",$M$12,""))))</f>
        <v/>
      </c>
    </row>
    <row r="400" spans="13:13" x14ac:dyDescent="0.35">
      <c r="M400" t="str">
        <f>IF(IFERROR(LOOKUP(2,1/(COUNTIF($M$9:M398,$E$12:$E$78)=0),$E$12:$E$78),IF($M$12=M399,"",IF(M399&lt;&gt;"",$M$12,"")))=0,"",IFERROR(LOOKUP(2,1/(COUNTIF($M$9:M398,$E$12:$E$78)=0),$E$12:$E$78),IF($M$12=M399,"",IF(M399&lt;&gt;"",$M$12,""))))</f>
        <v/>
      </c>
    </row>
    <row r="401" spans="13:13" x14ac:dyDescent="0.35">
      <c r="M401" t="str">
        <f>IF(IFERROR(LOOKUP(2,1/(COUNTIF($M$9:M399,$E$12:$E$78)=0),$E$12:$E$78),IF($M$12=M400,"",IF(M400&lt;&gt;"",$M$12,"")))=0,"",IFERROR(LOOKUP(2,1/(COUNTIF($M$9:M399,$E$12:$E$78)=0),$E$12:$E$78),IF($M$12=M400,"",IF(M400&lt;&gt;"",$M$12,""))))</f>
        <v/>
      </c>
    </row>
    <row r="402" spans="13:13" x14ac:dyDescent="0.35">
      <c r="M402" t="str">
        <f>IF(IFERROR(LOOKUP(2,1/(COUNTIF($M$9:M400,$E$12:$E$78)=0),$E$12:$E$78),IF($M$12=M401,"",IF(M401&lt;&gt;"",$M$12,"")))=0,"",IFERROR(LOOKUP(2,1/(COUNTIF($M$9:M400,$E$12:$E$78)=0),$E$12:$E$78),IF($M$12=M401,"",IF(M401&lt;&gt;"",$M$12,""))))</f>
        <v/>
      </c>
    </row>
    <row r="403" spans="13:13" x14ac:dyDescent="0.35">
      <c r="M403" t="str">
        <f>IF(IFERROR(LOOKUP(2,1/(COUNTIF($M$9:M401,$E$12:$E$78)=0),$E$12:$E$78),IF($M$12=M402,"",IF(M402&lt;&gt;"",$M$12,"")))=0,"",IFERROR(LOOKUP(2,1/(COUNTIF($M$9:M401,$E$12:$E$78)=0),$E$12:$E$78),IF($M$12=M402,"",IF(M402&lt;&gt;"",$M$12,""))))</f>
        <v/>
      </c>
    </row>
    <row r="404" spans="13:13" x14ac:dyDescent="0.35">
      <c r="M404" t="str">
        <f>IF(IFERROR(LOOKUP(2,1/(COUNTIF($M$9:M402,$E$12:$E$78)=0),$E$12:$E$78),IF($M$12=M403,"",IF(M403&lt;&gt;"",$M$12,"")))=0,"",IFERROR(LOOKUP(2,1/(COUNTIF($M$9:M402,$E$12:$E$78)=0),$E$12:$E$78),IF($M$12=M403,"",IF(M403&lt;&gt;"",$M$12,""))))</f>
        <v/>
      </c>
    </row>
    <row r="405" spans="13:13" x14ac:dyDescent="0.35">
      <c r="M405" t="str">
        <f>IF(IFERROR(LOOKUP(2,1/(COUNTIF($M$9:M403,$E$12:$E$78)=0),$E$12:$E$78),IF($M$12=M404,"",IF(M404&lt;&gt;"",$M$12,"")))=0,"",IFERROR(LOOKUP(2,1/(COUNTIF($M$9:M403,$E$12:$E$78)=0),$E$12:$E$78),IF($M$12=M404,"",IF(M404&lt;&gt;"",$M$12,""))))</f>
        <v/>
      </c>
    </row>
    <row r="406" spans="13:13" x14ac:dyDescent="0.35">
      <c r="M406" t="str">
        <f>IF(IFERROR(LOOKUP(2,1/(COUNTIF($M$9:M404,$E$12:$E$78)=0),$E$12:$E$78),IF($M$12=M405,"",IF(M405&lt;&gt;"",$M$12,"")))=0,"",IFERROR(LOOKUP(2,1/(COUNTIF($M$9:M404,$E$12:$E$78)=0),$E$12:$E$78),IF($M$12=M405,"",IF(M405&lt;&gt;"",$M$12,""))))</f>
        <v/>
      </c>
    </row>
    <row r="407" spans="13:13" x14ac:dyDescent="0.35">
      <c r="M407" t="str">
        <f>IF(IFERROR(LOOKUP(2,1/(COUNTIF($M$9:M405,$E$12:$E$78)=0),$E$12:$E$78),IF($M$12=M406,"",IF(M406&lt;&gt;"",$M$12,"")))=0,"",IFERROR(LOOKUP(2,1/(COUNTIF($M$9:M405,$E$12:$E$78)=0),$E$12:$E$78),IF($M$12=M406,"",IF(M406&lt;&gt;"",$M$12,""))))</f>
        <v/>
      </c>
    </row>
    <row r="408" spans="13:13" x14ac:dyDescent="0.35">
      <c r="M408" t="str">
        <f>IF(IFERROR(LOOKUP(2,1/(COUNTIF($M$9:M406,$E$12:$E$78)=0),$E$12:$E$78),IF($M$12=M407,"",IF(M407&lt;&gt;"",$M$12,"")))=0,"",IFERROR(LOOKUP(2,1/(COUNTIF($M$9:M406,$E$12:$E$78)=0),$E$12:$E$78),IF($M$12=M407,"",IF(M407&lt;&gt;"",$M$12,""))))</f>
        <v/>
      </c>
    </row>
    <row r="409" spans="13:13" x14ac:dyDescent="0.35">
      <c r="M409" t="str">
        <f>IF(IFERROR(LOOKUP(2,1/(COUNTIF($M$9:M407,$E$12:$E$78)=0),$E$12:$E$78),IF($M$12=M408,"",IF(M408&lt;&gt;"",$M$12,"")))=0,"",IFERROR(LOOKUP(2,1/(COUNTIF($M$9:M407,$E$12:$E$78)=0),$E$12:$E$78),IF($M$12=M408,"",IF(M408&lt;&gt;"",$M$12,""))))</f>
        <v/>
      </c>
    </row>
    <row r="410" spans="13:13" x14ac:dyDescent="0.35">
      <c r="M410" t="str">
        <f>IF(IFERROR(LOOKUP(2,1/(COUNTIF($M$9:M408,$E$12:$E$78)=0),$E$12:$E$78),IF($M$12=M409,"",IF(M409&lt;&gt;"",$M$12,"")))=0,"",IFERROR(LOOKUP(2,1/(COUNTIF($M$9:M408,$E$12:$E$78)=0),$E$12:$E$78),IF($M$12=M409,"",IF(M409&lt;&gt;"",$M$12,""))))</f>
        <v/>
      </c>
    </row>
    <row r="411" spans="13:13" x14ac:dyDescent="0.35">
      <c r="M411" t="str">
        <f>IF(IFERROR(LOOKUP(2,1/(COUNTIF($M$9:M409,$E$12:$E$78)=0),$E$12:$E$78),IF($M$12=M410,"",IF(M410&lt;&gt;"",$M$12,"")))=0,"",IFERROR(LOOKUP(2,1/(COUNTIF($M$9:M409,$E$12:$E$78)=0),$E$12:$E$78),IF($M$12=M410,"",IF(M410&lt;&gt;"",$M$12,""))))</f>
        <v/>
      </c>
    </row>
    <row r="412" spans="13:13" x14ac:dyDescent="0.35">
      <c r="M412" t="str">
        <f>IF(IFERROR(LOOKUP(2,1/(COUNTIF($M$9:M410,$E$12:$E$78)=0),$E$12:$E$78),IF($M$12=M411,"",IF(M411&lt;&gt;"",$M$12,"")))=0,"",IFERROR(LOOKUP(2,1/(COUNTIF($M$9:M410,$E$12:$E$78)=0),$E$12:$E$78),IF($M$12=M411,"",IF(M411&lt;&gt;"",$M$12,""))))</f>
        <v/>
      </c>
    </row>
    <row r="413" spans="13:13" x14ac:dyDescent="0.35">
      <c r="M413" t="str">
        <f>IF(IFERROR(LOOKUP(2,1/(COUNTIF($M$9:M411,$E$12:$E$78)=0),$E$12:$E$78),IF($M$12=M412,"",IF(M412&lt;&gt;"",$M$12,"")))=0,"",IFERROR(LOOKUP(2,1/(COUNTIF($M$9:M411,$E$12:$E$78)=0),$E$12:$E$78),IF($M$12=M412,"",IF(M412&lt;&gt;"",$M$12,""))))</f>
        <v/>
      </c>
    </row>
    <row r="414" spans="13:13" x14ac:dyDescent="0.35">
      <c r="M414" t="str">
        <f>IF(IFERROR(LOOKUP(2,1/(COUNTIF($M$9:M412,$E$12:$E$78)=0),$E$12:$E$78),IF($M$12=M413,"",IF(M413&lt;&gt;"",$M$12,"")))=0,"",IFERROR(LOOKUP(2,1/(COUNTIF($M$9:M412,$E$12:$E$78)=0),$E$12:$E$78),IF($M$12=M413,"",IF(M413&lt;&gt;"",$M$12,""))))</f>
        <v/>
      </c>
    </row>
    <row r="415" spans="13:13" x14ac:dyDescent="0.35">
      <c r="M415" t="str">
        <f>IF(IFERROR(LOOKUP(2,1/(COUNTIF($M$9:M413,$E$12:$E$78)=0),$E$12:$E$78),IF($M$12=M414,"",IF(M414&lt;&gt;"",$M$12,"")))=0,"",IFERROR(LOOKUP(2,1/(COUNTIF($M$9:M413,$E$12:$E$78)=0),$E$12:$E$78),IF($M$12=M414,"",IF(M414&lt;&gt;"",$M$12,""))))</f>
        <v/>
      </c>
    </row>
    <row r="416" spans="13:13" x14ac:dyDescent="0.35">
      <c r="M416" t="str">
        <f>IF(IFERROR(LOOKUP(2,1/(COUNTIF($M$9:M414,$E$12:$E$78)=0),$E$12:$E$78),IF($M$12=M415,"",IF(M415&lt;&gt;"",$M$12,"")))=0,"",IFERROR(LOOKUP(2,1/(COUNTIF($M$9:M414,$E$12:$E$78)=0),$E$12:$E$78),IF($M$12=M415,"",IF(M415&lt;&gt;"",$M$12,""))))</f>
        <v/>
      </c>
    </row>
    <row r="417" spans="13:13" x14ac:dyDescent="0.35">
      <c r="M417" t="str">
        <f>IF(IFERROR(LOOKUP(2,1/(COUNTIF($M$9:M415,$E$12:$E$78)=0),$E$12:$E$78),IF($M$12=M416,"",IF(M416&lt;&gt;"",$M$12,"")))=0,"",IFERROR(LOOKUP(2,1/(COUNTIF($M$9:M415,$E$12:$E$78)=0),$E$12:$E$78),IF($M$12=M416,"",IF(M416&lt;&gt;"",$M$12,""))))</f>
        <v/>
      </c>
    </row>
    <row r="418" spans="13:13" x14ac:dyDescent="0.35">
      <c r="M418" t="str">
        <f>IF(IFERROR(LOOKUP(2,1/(COUNTIF($M$9:M416,$E$12:$E$78)=0),$E$12:$E$78),IF($M$12=M417,"",IF(M417&lt;&gt;"",$M$12,"")))=0,"",IFERROR(LOOKUP(2,1/(COUNTIF($M$9:M416,$E$12:$E$78)=0),$E$12:$E$78),IF($M$12=M417,"",IF(M417&lt;&gt;"",$M$12,""))))</f>
        <v/>
      </c>
    </row>
    <row r="419" spans="13:13" x14ac:dyDescent="0.35">
      <c r="M419" t="str">
        <f>IF(IFERROR(LOOKUP(2,1/(COUNTIF($M$9:M417,$E$12:$E$78)=0),$E$12:$E$78),IF($M$12=M418,"",IF(M418&lt;&gt;"",$M$12,"")))=0,"",IFERROR(LOOKUP(2,1/(COUNTIF($M$9:M417,$E$12:$E$78)=0),$E$12:$E$78),IF($M$12=M418,"",IF(M418&lt;&gt;"",$M$12,""))))</f>
        <v/>
      </c>
    </row>
    <row r="420" spans="13:13" x14ac:dyDescent="0.35">
      <c r="M420" t="str">
        <f>IF(IFERROR(LOOKUP(2,1/(COUNTIF($M$9:M418,$E$12:$E$78)=0),$E$12:$E$78),IF($M$12=M419,"",IF(M419&lt;&gt;"",$M$12,"")))=0,"",IFERROR(LOOKUP(2,1/(COUNTIF($M$9:M418,$E$12:$E$78)=0),$E$12:$E$78),IF($M$12=M419,"",IF(M419&lt;&gt;"",$M$12,""))))</f>
        <v/>
      </c>
    </row>
    <row r="421" spans="13:13" x14ac:dyDescent="0.35">
      <c r="M421" t="str">
        <f>IF(IFERROR(LOOKUP(2,1/(COUNTIF($M$9:M419,$E$12:$E$78)=0),$E$12:$E$78),IF($M$12=M420,"",IF(M420&lt;&gt;"",$M$12,"")))=0,"",IFERROR(LOOKUP(2,1/(COUNTIF($M$9:M419,$E$12:$E$78)=0),$E$12:$E$78),IF($M$12=M420,"",IF(M420&lt;&gt;"",$M$12,""))))</f>
        <v/>
      </c>
    </row>
    <row r="422" spans="13:13" x14ac:dyDescent="0.35">
      <c r="M422" t="str">
        <f>IF(IFERROR(LOOKUP(2,1/(COUNTIF($M$9:M420,$E$12:$E$78)=0),$E$12:$E$78),IF($M$12=M421,"",IF(M421&lt;&gt;"",$M$12,"")))=0,"",IFERROR(LOOKUP(2,1/(COUNTIF($M$9:M420,$E$12:$E$78)=0),$E$12:$E$78),IF($M$12=M421,"",IF(M421&lt;&gt;"",$M$12,""))))</f>
        <v/>
      </c>
    </row>
    <row r="423" spans="13:13" x14ac:dyDescent="0.35">
      <c r="M423" t="str">
        <f>IF(IFERROR(LOOKUP(2,1/(COUNTIF($M$9:M421,$E$12:$E$78)=0),$E$12:$E$78),IF($M$12=M422,"",IF(M422&lt;&gt;"",$M$12,"")))=0,"",IFERROR(LOOKUP(2,1/(COUNTIF($M$9:M421,$E$12:$E$78)=0),$E$12:$E$78),IF($M$12=M422,"",IF(M422&lt;&gt;"",$M$12,""))))</f>
        <v/>
      </c>
    </row>
    <row r="424" spans="13:13" x14ac:dyDescent="0.35">
      <c r="M424" t="str">
        <f>IF(IFERROR(LOOKUP(2,1/(COUNTIF($M$9:M422,$E$12:$E$78)=0),$E$12:$E$78),IF($M$12=M423,"",IF(M423&lt;&gt;"",$M$12,"")))=0,"",IFERROR(LOOKUP(2,1/(COUNTIF($M$9:M422,$E$12:$E$78)=0),$E$12:$E$78),IF($M$12=M423,"",IF(M423&lt;&gt;"",$M$12,""))))</f>
        <v/>
      </c>
    </row>
    <row r="425" spans="13:13" x14ac:dyDescent="0.35">
      <c r="M425" t="str">
        <f>IF(IFERROR(LOOKUP(2,1/(COUNTIF($M$9:M423,$E$12:$E$78)=0),$E$12:$E$78),IF($M$12=M424,"",IF(M424&lt;&gt;"",$M$12,"")))=0,"",IFERROR(LOOKUP(2,1/(COUNTIF($M$9:M423,$E$12:$E$78)=0),$E$12:$E$78),IF($M$12=M424,"",IF(M424&lt;&gt;"",$M$12,""))))</f>
        <v/>
      </c>
    </row>
    <row r="426" spans="13:13" x14ac:dyDescent="0.35">
      <c r="M426" t="str">
        <f>IF(IFERROR(LOOKUP(2,1/(COUNTIF($M$9:M424,$E$12:$E$78)=0),$E$12:$E$78),IF($M$12=M425,"",IF(M425&lt;&gt;"",$M$12,"")))=0,"",IFERROR(LOOKUP(2,1/(COUNTIF($M$9:M424,$E$12:$E$78)=0),$E$12:$E$78),IF($M$12=M425,"",IF(M425&lt;&gt;"",$M$12,""))))</f>
        <v/>
      </c>
    </row>
    <row r="427" spans="13:13" x14ac:dyDescent="0.35">
      <c r="M427" t="str">
        <f>IF(IFERROR(LOOKUP(2,1/(COUNTIF($M$9:M425,$E$12:$E$78)=0),$E$12:$E$78),IF($M$12=M426,"",IF(M426&lt;&gt;"",$M$12,"")))=0,"",IFERROR(LOOKUP(2,1/(COUNTIF($M$9:M425,$E$12:$E$78)=0),$E$12:$E$78),IF($M$12=M426,"",IF(M426&lt;&gt;"",$M$12,""))))</f>
        <v/>
      </c>
    </row>
    <row r="428" spans="13:13" x14ac:dyDescent="0.35">
      <c r="M428" t="str">
        <f>IF(IFERROR(LOOKUP(2,1/(COUNTIF($M$9:M426,$E$12:$E$78)=0),$E$12:$E$78),IF($M$12=M427,"",IF(M427&lt;&gt;"",$M$12,"")))=0,"",IFERROR(LOOKUP(2,1/(COUNTIF($M$9:M426,$E$12:$E$78)=0),$E$12:$E$78),IF($M$12=M427,"",IF(M427&lt;&gt;"",$M$12,""))))</f>
        <v/>
      </c>
    </row>
    <row r="429" spans="13:13" x14ac:dyDescent="0.35">
      <c r="M429" t="str">
        <f>IF(IFERROR(LOOKUP(2,1/(COUNTIF($M$9:M427,$E$12:$E$78)=0),$E$12:$E$78),IF($M$12=M428,"",IF(M428&lt;&gt;"",$M$12,"")))=0,"",IFERROR(LOOKUP(2,1/(COUNTIF($M$9:M427,$E$12:$E$78)=0),$E$12:$E$78),IF($M$12=M428,"",IF(M428&lt;&gt;"",$M$12,""))))</f>
        <v/>
      </c>
    </row>
    <row r="430" spans="13:13" x14ac:dyDescent="0.35">
      <c r="M430" t="str">
        <f>IF(IFERROR(LOOKUP(2,1/(COUNTIF($M$9:M428,$E$12:$E$78)=0),$E$12:$E$78),IF($M$12=M429,"",IF(M429&lt;&gt;"",$M$12,"")))=0,"",IFERROR(LOOKUP(2,1/(COUNTIF($M$9:M428,$E$12:$E$78)=0),$E$12:$E$78),IF($M$12=M429,"",IF(M429&lt;&gt;"",$M$12,""))))</f>
        <v/>
      </c>
    </row>
    <row r="431" spans="13:13" x14ac:dyDescent="0.35">
      <c r="M431" t="str">
        <f>IF(IFERROR(LOOKUP(2,1/(COUNTIF($M$9:M429,$E$12:$E$78)=0),$E$12:$E$78),IF($M$12=M430,"",IF(M430&lt;&gt;"",$M$12,"")))=0,"",IFERROR(LOOKUP(2,1/(COUNTIF($M$9:M429,$E$12:$E$78)=0),$E$12:$E$78),IF($M$12=M430,"",IF(M430&lt;&gt;"",$M$12,""))))</f>
        <v/>
      </c>
    </row>
    <row r="432" spans="13:13" x14ac:dyDescent="0.35">
      <c r="M432" t="str">
        <f>IF(IFERROR(LOOKUP(2,1/(COUNTIF($M$9:M430,$E$12:$E$78)=0),$E$12:$E$78),IF($M$12=M431,"",IF(M431&lt;&gt;"",$M$12,"")))=0,"",IFERROR(LOOKUP(2,1/(COUNTIF($M$9:M430,$E$12:$E$78)=0),$E$12:$E$78),IF($M$12=M431,"",IF(M431&lt;&gt;"",$M$12,""))))</f>
        <v/>
      </c>
    </row>
    <row r="433" spans="13:13" x14ac:dyDescent="0.35">
      <c r="M433" t="str">
        <f>IF(IFERROR(LOOKUP(2,1/(COUNTIF($M$9:M431,$E$12:$E$78)=0),$E$12:$E$78),IF($M$12=M432,"",IF(M432&lt;&gt;"",$M$12,"")))=0,"",IFERROR(LOOKUP(2,1/(COUNTIF($M$9:M431,$E$12:$E$78)=0),$E$12:$E$78),IF($M$12=M432,"",IF(M432&lt;&gt;"",$M$12,""))))</f>
        <v/>
      </c>
    </row>
    <row r="434" spans="13:13" x14ac:dyDescent="0.35">
      <c r="M434" t="str">
        <f>IF(IFERROR(LOOKUP(2,1/(COUNTIF($M$9:M432,$E$12:$E$78)=0),$E$12:$E$78),IF($M$12=M433,"",IF(M433&lt;&gt;"",$M$12,"")))=0,"",IFERROR(LOOKUP(2,1/(COUNTIF($M$9:M432,$E$12:$E$78)=0),$E$12:$E$78),IF($M$12=M433,"",IF(M433&lt;&gt;"",$M$12,""))))</f>
        <v/>
      </c>
    </row>
    <row r="435" spans="13:13" x14ac:dyDescent="0.35">
      <c r="M435" t="str">
        <f>IF(IFERROR(LOOKUP(2,1/(COUNTIF($M$9:M433,$E$12:$E$78)=0),$E$12:$E$78),IF($M$12=M434,"",IF(M434&lt;&gt;"",$M$12,"")))=0,"",IFERROR(LOOKUP(2,1/(COUNTIF($M$9:M433,$E$12:$E$78)=0),$E$12:$E$78),IF($M$12=M434,"",IF(M434&lt;&gt;"",$M$12,""))))</f>
        <v/>
      </c>
    </row>
    <row r="436" spans="13:13" x14ac:dyDescent="0.35">
      <c r="M436" t="str">
        <f>IF(IFERROR(LOOKUP(2,1/(COUNTIF($M$9:M434,$E$12:$E$78)=0),$E$12:$E$78),IF($M$12=M435,"",IF(M435&lt;&gt;"",$M$12,"")))=0,"",IFERROR(LOOKUP(2,1/(COUNTIF($M$9:M434,$E$12:$E$78)=0),$E$12:$E$78),IF($M$12=M435,"",IF(M435&lt;&gt;"",$M$12,""))))</f>
        <v/>
      </c>
    </row>
    <row r="437" spans="13:13" x14ac:dyDescent="0.35">
      <c r="M437" t="str">
        <f>IF(IFERROR(LOOKUP(2,1/(COUNTIF($M$9:M435,$E$12:$E$78)=0),$E$12:$E$78),IF($M$12=M436,"",IF(M436&lt;&gt;"",$M$12,"")))=0,"",IFERROR(LOOKUP(2,1/(COUNTIF($M$9:M435,$E$12:$E$78)=0),$E$12:$E$78),IF($M$12=M436,"",IF(M436&lt;&gt;"",$M$12,""))))</f>
        <v/>
      </c>
    </row>
    <row r="438" spans="13:13" x14ac:dyDescent="0.35">
      <c r="M438" t="str">
        <f>IF(IFERROR(LOOKUP(2,1/(COUNTIF($M$9:M436,$E$12:$E$78)=0),$E$12:$E$78),IF($M$12=M437,"",IF(M437&lt;&gt;"",$M$12,"")))=0,"",IFERROR(LOOKUP(2,1/(COUNTIF($M$9:M436,$E$12:$E$78)=0),$E$12:$E$78),IF($M$12=M437,"",IF(M437&lt;&gt;"",$M$12,""))))</f>
        <v/>
      </c>
    </row>
    <row r="439" spans="13:13" x14ac:dyDescent="0.35">
      <c r="M439" t="str">
        <f>IF(IFERROR(LOOKUP(2,1/(COUNTIF($M$9:M437,$E$12:$E$78)=0),$E$12:$E$78),IF($M$12=M438,"",IF(M438&lt;&gt;"",$M$12,"")))=0,"",IFERROR(LOOKUP(2,1/(COUNTIF($M$9:M437,$E$12:$E$78)=0),$E$12:$E$78),IF($M$12=M438,"",IF(M438&lt;&gt;"",$M$12,""))))</f>
        <v/>
      </c>
    </row>
    <row r="440" spans="13:13" x14ac:dyDescent="0.35">
      <c r="M440" t="str">
        <f>IF(IFERROR(LOOKUP(2,1/(COUNTIF($M$9:M438,$E$12:$E$78)=0),$E$12:$E$78),IF($M$12=M439,"",IF(M439&lt;&gt;"",$M$12,"")))=0,"",IFERROR(LOOKUP(2,1/(COUNTIF($M$9:M438,$E$12:$E$78)=0),$E$12:$E$78),IF($M$12=M439,"",IF(M439&lt;&gt;"",$M$12,""))))</f>
        <v/>
      </c>
    </row>
    <row r="441" spans="13:13" x14ac:dyDescent="0.35">
      <c r="M441" t="str">
        <f>IF(IFERROR(LOOKUP(2,1/(COUNTIF($M$9:M439,$E$12:$E$78)=0),$E$12:$E$78),IF($M$12=M440,"",IF(M440&lt;&gt;"",$M$12,"")))=0,"",IFERROR(LOOKUP(2,1/(COUNTIF($M$9:M439,$E$12:$E$78)=0),$E$12:$E$78),IF($M$12=M440,"",IF(M440&lt;&gt;"",$M$12,""))))</f>
        <v/>
      </c>
    </row>
    <row r="442" spans="13:13" x14ac:dyDescent="0.35">
      <c r="M442" t="str">
        <f>IF(IFERROR(LOOKUP(2,1/(COUNTIF($M$9:M440,$E$12:$E$78)=0),$E$12:$E$78),IF($M$12=M441,"",IF(M441&lt;&gt;"",$M$12,"")))=0,"",IFERROR(LOOKUP(2,1/(COUNTIF($M$9:M440,$E$12:$E$78)=0),$E$12:$E$78),IF($M$12=M441,"",IF(M441&lt;&gt;"",$M$12,""))))</f>
        <v/>
      </c>
    </row>
    <row r="443" spans="13:13" x14ac:dyDescent="0.35">
      <c r="M443" t="str">
        <f>IF(IFERROR(LOOKUP(2,1/(COUNTIF($M$9:M441,$E$12:$E$78)=0),$E$12:$E$78),IF($M$12=M442,"",IF(M442&lt;&gt;"",$M$12,"")))=0,"",IFERROR(LOOKUP(2,1/(COUNTIF($M$9:M441,$E$12:$E$78)=0),$E$12:$E$78),IF($M$12=M442,"",IF(M442&lt;&gt;"",$M$12,""))))</f>
        <v/>
      </c>
    </row>
    <row r="444" spans="13:13" x14ac:dyDescent="0.35">
      <c r="M444" t="str">
        <f>IF(IFERROR(LOOKUP(2,1/(COUNTIF($M$9:M442,$E$12:$E$78)=0),$E$12:$E$78),IF($M$12=M443,"",IF(M443&lt;&gt;"",$M$12,"")))=0,"",IFERROR(LOOKUP(2,1/(COUNTIF($M$9:M442,$E$12:$E$78)=0),$E$12:$E$78),IF($M$12=M443,"",IF(M443&lt;&gt;"",$M$12,""))))</f>
        <v/>
      </c>
    </row>
    <row r="445" spans="13:13" x14ac:dyDescent="0.35">
      <c r="M445" t="str">
        <f>IF(IFERROR(LOOKUP(2,1/(COUNTIF($M$9:M443,$E$12:$E$78)=0),$E$12:$E$78),IF($M$12=M444,"",IF(M444&lt;&gt;"",$M$12,"")))=0,"",IFERROR(LOOKUP(2,1/(COUNTIF($M$9:M443,$E$12:$E$78)=0),$E$12:$E$78),IF($M$12=M444,"",IF(M444&lt;&gt;"",$M$12,""))))</f>
        <v/>
      </c>
    </row>
    <row r="446" spans="13:13" x14ac:dyDescent="0.35">
      <c r="M446" t="str">
        <f>IF(IFERROR(LOOKUP(2,1/(COUNTIF($M$9:M444,$E$12:$E$78)=0),$E$12:$E$78),IF($M$12=M445,"",IF(M445&lt;&gt;"",$M$12,"")))=0,"",IFERROR(LOOKUP(2,1/(COUNTIF($M$9:M444,$E$12:$E$78)=0),$E$12:$E$78),IF($M$12=M445,"",IF(M445&lt;&gt;"",$M$12,""))))</f>
        <v/>
      </c>
    </row>
  </sheetData>
  <dataValidations count="2">
    <dataValidation type="custom" allowBlank="1" showInputMessage="1" showErrorMessage="1" errorTitle="X-Author for Excel" error="Id and Lookup fields are not editable." promptTitle="X-Author for Excel" sqref="G12:G140">
      <formula1>""</formula1>
    </dataValidation>
    <dataValidation type="list" allowBlank="1" showInputMessage="1" showErrorMessage="1" errorTitle="X-Author for Excel" error="Please select either TRUE or FALSE from the dropdown." promptTitle="X-Author for Excel" sqref="N12:N77">
      <formula1>"TRUE,FALSE"</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4:J53"/>
  <sheetViews>
    <sheetView showGridLines="0" view="pageBreakPreview" topLeftCell="A26" zoomScale="80" zoomScaleNormal="100" zoomScaleSheetLayoutView="80" workbookViewId="0">
      <selection activeCell="C28" sqref="C28"/>
    </sheetView>
  </sheetViews>
  <sheetFormatPr defaultColWidth="9.08984375" defaultRowHeight="14" x14ac:dyDescent="0.35"/>
  <cols>
    <col min="1" max="3" width="35.90625" style="10" customWidth="1" collapsed="1"/>
    <col min="4" max="5" width="20.90625" style="10" customWidth="1" collapsed="1"/>
    <col min="6" max="6" width="150.90625" style="10" customWidth="1" collapsed="1"/>
    <col min="7" max="7" width="19.90625" style="10" customWidth="1" collapsed="1"/>
    <col min="8" max="8" width="19.453125" style="10" customWidth="1" collapsed="1"/>
    <col min="9" max="9" width="19.90625" style="10" customWidth="1" collapsed="1"/>
    <col min="10" max="10" width="100.90625" style="10" customWidth="1" collapsed="1"/>
    <col min="11" max="16384" width="9.08984375" style="10" collapsed="1"/>
  </cols>
  <sheetData>
    <row r="4" spans="1:10" ht="23" x14ac:dyDescent="0.35">
      <c r="A4" s="170" t="s">
        <v>4</v>
      </c>
      <c r="B4" s="170"/>
      <c r="C4" s="170"/>
      <c r="D4" s="170"/>
      <c r="E4" s="170"/>
      <c r="F4" s="170"/>
      <c r="G4" s="170"/>
      <c r="H4" s="170"/>
      <c r="I4" s="170"/>
      <c r="J4" s="170"/>
    </row>
    <row r="5" spans="1:10" ht="17.5" x14ac:dyDescent="0.35">
      <c r="A5" s="169" t="s">
        <v>5</v>
      </c>
      <c r="B5" s="169"/>
      <c r="C5" s="169"/>
      <c r="D5" s="169"/>
      <c r="E5" s="169"/>
      <c r="F5" s="169"/>
      <c r="G5" s="169"/>
      <c r="H5" s="169"/>
      <c r="I5" s="169"/>
      <c r="J5" s="169"/>
    </row>
    <row r="6" spans="1:10" ht="15.5" x14ac:dyDescent="0.35">
      <c r="A6" s="173" t="s">
        <v>6</v>
      </c>
      <c r="B6" s="174"/>
    </row>
    <row r="7" spans="1:10" ht="15.5" x14ac:dyDescent="0.35">
      <c r="A7" s="171" t="s">
        <v>7</v>
      </c>
      <c r="B7" s="172"/>
    </row>
    <row r="8" spans="1:10" ht="15.5" x14ac:dyDescent="0.35">
      <c r="A8" s="175" t="s">
        <v>8</v>
      </c>
      <c r="B8" s="176"/>
    </row>
    <row r="10" spans="1:10" ht="18" x14ac:dyDescent="0.35">
      <c r="A10" s="11" t="s">
        <v>9</v>
      </c>
      <c r="B10" s="12" t="s">
        <v>3</v>
      </c>
    </row>
    <row r="12" spans="1:10" ht="18" x14ac:dyDescent="0.35">
      <c r="A12" s="199" t="s">
        <v>10</v>
      </c>
      <c r="B12" s="199"/>
      <c r="C12" s="199"/>
      <c r="D12" s="199"/>
      <c r="E12" s="13"/>
      <c r="F12" s="13"/>
      <c r="G12" s="13"/>
      <c r="H12" s="13"/>
    </row>
    <row r="13" spans="1:10" ht="30" customHeight="1" x14ac:dyDescent="0.35">
      <c r="A13" s="14" t="s">
        <v>11</v>
      </c>
      <c r="B13" s="204" t="str">
        <f>'PAAR UPDATE'!B13</f>
        <v>Kazakhstan</v>
      </c>
      <c r="C13" s="204"/>
      <c r="D13" s="204"/>
    </row>
    <row r="14" spans="1:10" ht="30" customHeight="1" x14ac:dyDescent="0.35">
      <c r="A14" s="14" t="s">
        <v>12</v>
      </c>
      <c r="B14" s="204" t="str">
        <f>IFERROR(IF('PAAR UPDATE'!$B$10="English",'PAAR UPDATE'!$B14,IF('PAAR UPDATE'!$B$10="Français",VLOOKUP('PAAR UPDATE'!$B14,For_EN[],3,0),IF('PAAR UPDATE'!$B$10="Español",VLOOKUP('PAAR UPDATE'!$B14,For_EN[[Español]:[English]],2,0)))),0)</f>
        <v>Tuberculosis</v>
      </c>
      <c r="C14" s="204"/>
      <c r="D14" s="204"/>
    </row>
    <row r="15" spans="1:10" ht="30" customHeight="1" x14ac:dyDescent="0.35">
      <c r="A15" s="15" t="s">
        <v>13</v>
      </c>
      <c r="B15" s="204" t="str">
        <f>'PAAR UPDATE'!B15</f>
        <v>FR1049-KAZ-T</v>
      </c>
      <c r="C15" s="204"/>
      <c r="D15" s="204"/>
    </row>
    <row r="16" spans="1:10" ht="30" customHeight="1" x14ac:dyDescent="0.35">
      <c r="A16" s="14" t="s">
        <v>14</v>
      </c>
      <c r="B16" s="204" t="str">
        <f>'PAAR UPDATE'!B16</f>
        <v>USD</v>
      </c>
      <c r="C16" s="204"/>
      <c r="D16" s="204"/>
    </row>
    <row r="17" spans="1:10" ht="30" customHeight="1" x14ac:dyDescent="0.35">
      <c r="A17" s="15" t="s">
        <v>15</v>
      </c>
      <c r="B17" s="205">
        <f>'PAAR UPDATE'!B18</f>
        <v>0</v>
      </c>
      <c r="C17" s="206"/>
      <c r="D17" s="206"/>
    </row>
    <row r="19" spans="1:10" ht="18" x14ac:dyDescent="0.35">
      <c r="A19" s="199" t="s">
        <v>16</v>
      </c>
      <c r="B19" s="199"/>
      <c r="C19" s="199"/>
      <c r="D19" s="199"/>
      <c r="E19" s="199"/>
      <c r="F19" s="199"/>
      <c r="G19" s="199"/>
      <c r="H19" s="199"/>
      <c r="I19" s="199"/>
      <c r="J19" s="199"/>
    </row>
    <row r="20" spans="1:10" ht="130.4" customHeight="1" x14ac:dyDescent="0.35">
      <c r="A20" s="202" t="s">
        <v>17</v>
      </c>
      <c r="B20" s="202"/>
      <c r="C20" s="202"/>
      <c r="D20" s="202"/>
      <c r="E20" s="202"/>
      <c r="F20" s="202"/>
      <c r="G20" s="202"/>
      <c r="H20" s="202"/>
      <c r="I20" s="202"/>
      <c r="J20" s="202"/>
    </row>
    <row r="21" spans="1:10" ht="150" customHeight="1" x14ac:dyDescent="0.35">
      <c r="A21" s="203" t="str">
        <f>'PAAR UPDATE'!A23</f>
        <v>1. Reagents for sequencing method: 
Emergence and spread of MBT strains with multidrug resistance to TB drugs is a great concern to the country, considering that Kazakhstan is among the countries with high MDR-TB burden. Modern genotype detection methods help to accelerate diagnostics and start an adequate treatment, increasing patient’s chances of recovery and reducing a risk of infection transmission among population.   New generation sequencing has a great potential as a leading option, that addresses the constraints of the existing phenotypic method currently used for DR-TB diagnostics in the reference laboratories. At the NTP initiative, in 2020, the country purchased a whole genome sequencing system for NRL through the current grant funds. The supplier provided an initial training for the NRL specialists during the installation, the Nazarbayev University specialists were invited in the Quarter 1 of 2021, after which an additional training in the use of the system and interpretation of results was organized within the USAID ETICA project. The first investigations were carried out in the NRL in March 2021. Introduction of new drugs and treatment schemes for patients with pre- and XDR-TB will require to expand WGS researches for adequate management of cases with this range of resistance. Further introduction of the NGS technology for rapid DR-TB diagnostics associates with particular problems: high costs for reagents and equipment servicing, which is particularly burdensome for the TB service of the country in the context of the COVID-19 pandemic. In order to ensure a stable operation of this modern technology, its validation and further inclusion to the national diagnostic algorithm, an additional procurement of reagents, consumables for NGS, as well as service maintenance of sequencer and fragment analyzer system for 2022 are required.
2. Bactec for the NRL at the NSCP: 
The NRL at the NSCP is a coordinating authority for all the TB laboratories of Kazakhstan, where all severe cases of the country are examined, for which the tests are made.  In accordance with the order 214 TB in the RK, with respect to the examination of TB patients during diagnostics and control of chemotherapy - patients of all categories are to be examined monthly using BACTEC MGIT 960 and according to the WHO recommendations 2018. Expanded use of culture and DST using Bactec method when transferring to STR and ITR of DR-TB with non-injection TB treatment schemes. The NRL also performs an “External quality assessment” EQA of all the methods for the whole country laboratory network of the TB Service (on 20 strains for 20 laboratories). Moreover, it prepares a panel at the SRL (Gauting, Germany), which is an additional cost for the NSCP budget. The COVID situation also effects it, as the COVID suspects are examined at the NRL.   
In connection with increasing the workload on the NRL, an additional procurement of full kit of reagents and calibration kits for Bactec is relevant.  
3. Xpert MTB/Rif cartridges:
Rationale: according to the latest WHO recommendations (2020), the molecular-genetic diagnostic methods of TB and resistance to Rifampicin, particularly using GeneXpert equipment, are the main method of examination for the TB suspects. Introduction of rapid molecular diagnostics (GeneXpert technology) in Kazakhstan was started in 2012 with support from various donors. By the end of 2017, 56 GeneXpert machines operated in the country, mostly at the level of PHC and regional TB centers, as well as in the penitentiary sector. In 2018, the NTP and Stop TB Partnership conducted an assessment of the country’s need in GeneXpert to ensure universal access to the express diagnostic testing as a main pulmonary TB diagnostic method for the TB suspects. As a result of the assessment, the need in GeneXpert machines in the country was 166 (only the civil sector, excluding the NRL and AIDS centers).       With support from the GF and USAID, additional GeneXpert machines were purchased and installed in the health facilities of the civil sector, which improved an access to services and minimized an average distance to transport sputum samples from districts to regional/interdistrict GeneXpert laboratories. Wide use of Xpert MTB / RIF to detect pulmonary TB and resistance to Rifampicin improved diagnostics and reduced the time from MDR-TB detection to treatment. Currently, the Xpert laboratory network includes 120 laboratories with 126 GeneXpert machines (310 active modules) (excluding NRL): 94 machines are installed at the PHC level, 31- at the TB facilities, 1 – in the penitentiary system. This led to steady increase in number of performed GeneXpert MTB / RIF tests from 14 500 in 2013 to 78 723 in 2020.   Total number of GeneXpert MTB / RIF tests increased in 2020. Moreover, a coverage of expected TB suspects with the molecular diagnostics increased from 68% in 2018 to 89% in 2020. Before 2018, the country purchased Xpert MTB/RIF cartridges on the local market at high prices (72 USD per one cartridge). In 2018, the procurement of Xpert MTB/RIF cartridges with the state funds through the international GDF Stop TB Partnership platform in accordance with the order of the Minister of Health of the Republic of Kazakhstan dated July 18, 2018 No 434 "On approval of the list of drugs, medical products within the guaranteed volume of free medical care and in the system of mandatory social health insurance, purchased from the Single Distributor" was started. Xpert MTB/RIF cartridges were included to the annex to this Order, and during 2018-2020 the country purchased cartridges at an affordable/ preferential price through the Single Distributor – SK Pharmacy. Currently, in connection with the amended Order No КР ДСМ-247/2020 dated December 11, 2020 in terms of rules for forming medicines and medical products at referent price, Xpert MTB/RIF cartridges were removed from the list.     At the moment, the NSCP is taking steps with the aim of amending the Order of the MoH to include Xpert MTB/RIF cartridges to the Single Distributor list. The estimated annual number of cartridges for GeneXpert equipment (Xpert MTB/RIF and/or ULTRA) for rapid molecular genetic diagnostics of TB and rifampicin resistance in adults and children is calculated from the expected number of TB patients (9,500-10,700) multiplied by 10 (expected number of persons with symptoms to be tested per one registered case).  The expected number of GeneXpert cartridges for 2022 is 95,000-107,000, and 5% should be added for mistakes. The total estimated number of required cartridges is 99,750-112,350. In view of the foregoing, the CCM is requesting Xpert MTB/RIF procurement in number of 50 500 cartridges through the PAAR mechanism for 9 months of 2022, considering the rest of cartridges in the country.   
4. Xpert MTB/XDR cartridges:
Rationale: It is planned to procure 20 units of 10-canal 4-module GeneXpert equipment for the bacteriological laboratories of the TB service with the additional funds of GF C19RM. The planned purchases are in compliance with the latest WHO recommendations and WHO Green Light Committee mission assessment, which stressed the need to consider nation-wide introduction of Xpert XDR technology, as well as national protocols and algorithms for screening TB suspects. As per the NTP assessment data, there are sites with average distances for transportation of sputum samples from the districts to the oblast/ interdistrict GeneXpert laboratories exceeding 100 km. 20 units of existing 6-channel equipment from the TBO bacteriological laboratories will be transferred to the selected peripheral district facilities in order to address the problem. These machines will be used to test samples from patients with suspected COVID in addition to TB/MDR detection. It is proposed to purchase Xpert MTB / XDR cartridges for the regional TB laboratories for full use of the method in accordance with the latest WHO recommendations (2021).</v>
      </c>
      <c r="B21" s="203"/>
      <c r="C21" s="203"/>
      <c r="D21" s="203"/>
      <c r="E21" s="203"/>
      <c r="F21" s="203"/>
      <c r="G21" s="203"/>
      <c r="H21" s="203"/>
      <c r="I21" s="203"/>
      <c r="J21" s="203"/>
    </row>
    <row r="22" spans="1:10" ht="150" customHeight="1" x14ac:dyDescent="0.35">
      <c r="A22" s="203"/>
      <c r="B22" s="203"/>
      <c r="C22" s="203"/>
      <c r="D22" s="203"/>
      <c r="E22" s="203"/>
      <c r="F22" s="203"/>
      <c r="G22" s="203"/>
      <c r="H22" s="203"/>
      <c r="I22" s="203"/>
      <c r="J22" s="203"/>
    </row>
    <row r="23" spans="1:10" ht="150" customHeight="1" x14ac:dyDescent="0.35">
      <c r="A23" s="203"/>
      <c r="B23" s="203"/>
      <c r="C23" s="203"/>
      <c r="D23" s="203"/>
      <c r="E23" s="203"/>
      <c r="F23" s="203"/>
      <c r="G23" s="203"/>
      <c r="H23" s="203"/>
      <c r="I23" s="203"/>
      <c r="J23" s="203"/>
    </row>
    <row r="25" spans="1:10" ht="18" x14ac:dyDescent="0.35">
      <c r="A25" s="199" t="s">
        <v>4</v>
      </c>
      <c r="B25" s="199"/>
      <c r="C25" s="199"/>
      <c r="D25" s="199"/>
      <c r="E25" s="199"/>
      <c r="F25" s="199"/>
      <c r="G25" s="199"/>
      <c r="H25" s="199"/>
      <c r="I25" s="199"/>
      <c r="J25" s="199"/>
    </row>
    <row r="26" spans="1:10" ht="230.15" customHeight="1" x14ac:dyDescent="0.35">
      <c r="A26" s="202" t="s">
        <v>18</v>
      </c>
      <c r="B26" s="202"/>
      <c r="C26" s="202"/>
      <c r="D26" s="202"/>
      <c r="E26" s="202"/>
      <c r="F26" s="202"/>
      <c r="G26" s="202"/>
      <c r="H26" s="202"/>
      <c r="I26" s="202"/>
      <c r="J26" s="202"/>
    </row>
    <row r="27" spans="1:10" ht="28" x14ac:dyDescent="0.35">
      <c r="A27" s="16" t="s">
        <v>19</v>
      </c>
      <c r="B27" s="16" t="s">
        <v>20</v>
      </c>
      <c r="C27" s="16" t="s">
        <v>21</v>
      </c>
      <c r="D27" s="16" t="s">
        <v>22</v>
      </c>
      <c r="E27" s="23" t="s">
        <v>23</v>
      </c>
      <c r="F27" s="16" t="s">
        <v>24</v>
      </c>
      <c r="G27" s="17" t="s">
        <v>25</v>
      </c>
      <c r="H27" s="25" t="s">
        <v>26</v>
      </c>
      <c r="I27" s="17" t="s">
        <v>27</v>
      </c>
      <c r="J27" s="17" t="s">
        <v>28</v>
      </c>
    </row>
    <row r="28" spans="1:10" ht="28" x14ac:dyDescent="0.35">
      <c r="A28" s="27" t="str">
        <f>IFERROR(IF('PAAR UPDATE'!$B$10="English",'PAAR UPDATE'!$A31,IF('PAAR UPDATE'!$B$10="Français",VLOOKUP('PAAR UPDATE'!$A31,For_EN[],3,0),IF('PAAR UPDATE'!$B$10="Español",VLOOKUP('PAAR UPDATE'!$A31,For_EN[[Español]:[English]],2,0)))),0)</f>
        <v>Medium</v>
      </c>
      <c r="B28" s="27">
        <f>IFERROR(IF('PAAR UPDATE'!$B$10="English",'PAAR UPDATE'!#REF!,IF('PAAR UPDATE'!$B$10="Français",VLOOKUP('PAAR UPDATE'!#REF!,For_EN[],3,0),IF('PAAR UPDATE'!$B$10="Español",VLOOKUP('PAAR UPDATE'!#REF!,For_EN[[Español]:[English]],2,0)))),0)</f>
        <v>0</v>
      </c>
      <c r="C28" s="27" t="str">
        <f>IFERROR(IF('PAAR UPDATE'!$B$10="English",'PAAR UPDATE'!$C31,IF('PAAR UPDATE'!$B$10="Français",VLOOKUP('PAAR UPDATE'!$C31,For_EN[],3,0),IF('PAAR UPDATE'!$B$10="Español",VLOOKUP('PAAR UPDATE'!$C31,For_EN[[Español]:[English]],2,0)))),0)</f>
        <v>Case detection and diagnosis: MDR-TB</v>
      </c>
      <c r="D28" s="18">
        <f>'PAAR UPDATE'!D31</f>
        <v>301051</v>
      </c>
      <c r="E28" s="19">
        <f>'PAAR UPDATE'!E31</f>
        <v>301051</v>
      </c>
      <c r="F28" s="26" t="str">
        <f>'PAAR UPDATE'!F31</f>
        <v>Procurement of isolation of strains in liquid culture and DST (automated MGIT)</v>
      </c>
      <c r="G28" s="19"/>
      <c r="H28" s="19">
        <f>IF($B$16="EUR",$G28*(1/0.8911),$G28)</f>
        <v>0</v>
      </c>
      <c r="I28" s="24"/>
      <c r="J28" s="28"/>
    </row>
    <row r="29" spans="1:10" ht="28" x14ac:dyDescent="0.35">
      <c r="A29" s="27" t="str">
        <f>IFERROR(IF('PAAR UPDATE'!$B$10="English",'PAAR UPDATE'!$A32,IF('PAAR UPDATE'!$B$10="Français",VLOOKUP('PAAR UPDATE'!$A32,For_EN[],3,0),IF('PAAR UPDATE'!$B$10="Español",VLOOKUP('PAAR UPDATE'!$A32,For_EN[[Español]:[English]],2,0)))),0)</f>
        <v>Medium</v>
      </c>
      <c r="B29" s="27" t="str">
        <f>IFERROR(IF('PAAR UPDATE'!$B$10="English",'PAAR UPDATE'!$B32,IF('PAAR UPDATE'!$B$10="Français",VLOOKUP('PAAR UPDATE'!$B32,For_EN[],3,0),IF('PAAR UPDATE'!$B$10="Español",VLOOKUP('PAAR UPDATE'!$B32,For_EN[[Español]:[English]],2,0)))),0)</f>
        <v>MDR-TB</v>
      </c>
      <c r="C29" s="27" t="str">
        <f>IFERROR(IF('PAAR UPDATE'!$B$10="English",'PAAR UPDATE'!$C32,IF('PAAR UPDATE'!$B$10="Français",VLOOKUP('PAAR UPDATE'!$C32,For_EN[],3,0),IF('PAAR UPDATE'!$B$10="Español",VLOOKUP('PAAR UPDATE'!$C32,For_EN[[Español]:[English]],2,0)))),0)</f>
        <v>Case detection and diagnosis: MDR-TB</v>
      </c>
      <c r="D29" s="18">
        <f>'PAAR UPDATE'!D32</f>
        <v>574750</v>
      </c>
      <c r="E29" s="19">
        <f>'PAAR UPDATE'!E32</f>
        <v>574750</v>
      </c>
      <c r="F29" s="26" t="str">
        <f>'PAAR UPDATE'!F32</f>
        <v>Procurement of Xpert MTB/RIF cartridges</v>
      </c>
      <c r="G29" s="19"/>
      <c r="H29" s="19">
        <f t="shared" ref="H29:H52" si="0">IF($B$16="EUR",$G29*(1/0.8911),$G29)</f>
        <v>0</v>
      </c>
      <c r="I29" s="24"/>
      <c r="J29" s="28"/>
    </row>
    <row r="30" spans="1:10" ht="28" x14ac:dyDescent="0.35">
      <c r="A30" s="27" t="str">
        <f>IFERROR(IF('PAAR UPDATE'!$B$10="English",'PAAR UPDATE'!$A33,IF('PAAR UPDATE'!$B$10="Français",VLOOKUP('PAAR UPDATE'!$A33,For_EN[],3,0),IF('PAAR UPDATE'!$B$10="Español",VLOOKUP('PAAR UPDATE'!$A33,For_EN[[Español]:[English]],2,0)))),0)</f>
        <v>Medium</v>
      </c>
      <c r="B30" s="27" t="str">
        <f>IFERROR(IF('PAAR UPDATE'!$B$10="English",'PAAR UPDATE'!$B33,IF('PAAR UPDATE'!$B$10="Français",VLOOKUP('PAAR UPDATE'!$B33,For_EN[],3,0),IF('PAAR UPDATE'!$B$10="Español",VLOOKUP('PAAR UPDATE'!$B33,For_EN[[Español]:[English]],2,0)))),0)</f>
        <v>MDR-TB</v>
      </c>
      <c r="C30" s="27" t="str">
        <f>IFERROR(IF('PAAR UPDATE'!$B$10="English",'PAAR UPDATE'!$C33,IF('PAAR UPDATE'!$B$10="Français",VLOOKUP('PAAR UPDATE'!$C33,For_EN[],3,0),IF('PAAR UPDATE'!$B$10="Español",VLOOKUP('PAAR UPDATE'!$C33,For_EN[[Español]:[English]],2,0)))),0)</f>
        <v>Case detection and diagnosis: MDR-TB</v>
      </c>
      <c r="D30" s="18">
        <f>'PAAR UPDATE'!D33</f>
        <v>112900</v>
      </c>
      <c r="E30" s="19">
        <f>'PAAR UPDATE'!E33</f>
        <v>112900</v>
      </c>
      <c r="F30" s="26" t="str">
        <f>'PAAR UPDATE'!F33</f>
        <v>Procurement of Xpert MTB/XDR cartridges</v>
      </c>
      <c r="G30" s="19"/>
      <c r="H30" s="19">
        <f t="shared" si="0"/>
        <v>0</v>
      </c>
      <c r="I30" s="24"/>
      <c r="J30" s="28"/>
    </row>
    <row r="31" spans="1:10" x14ac:dyDescent="0.35">
      <c r="A31" s="27">
        <f>IFERROR(IF('PAAR UPDATE'!$B$10="English",'PAAR UPDATE'!$A34,IF('PAAR UPDATE'!$B$10="Français",VLOOKUP('PAAR UPDATE'!$A34,For_EN[],3,0),IF('PAAR UPDATE'!$B$10="Español",VLOOKUP('PAAR UPDATE'!$A34,For_EN[[Español]:[English]],2,0)))),0)</f>
        <v>0</v>
      </c>
      <c r="B31" s="27">
        <f>IFERROR(IF('PAAR UPDATE'!$B$10="English",'PAAR UPDATE'!$B34,IF('PAAR UPDATE'!$B$10="Français",VLOOKUP('PAAR UPDATE'!$B34,For_EN[],3,0),IF('PAAR UPDATE'!$B$10="Español",VLOOKUP('PAAR UPDATE'!$B34,For_EN[[Español]:[English]],2,0)))),0)</f>
        <v>0</v>
      </c>
      <c r="C31" s="27">
        <f>IFERROR(IF('PAAR UPDATE'!$B$10="English",'PAAR UPDATE'!$C34,IF('PAAR UPDATE'!$B$10="Français",VLOOKUP('PAAR UPDATE'!$C34,For_EN[],3,0),IF('PAAR UPDATE'!$B$10="Español",VLOOKUP('PAAR UPDATE'!$C34,For_EN[[Español]:[English]],2,0)))),0)</f>
        <v>0</v>
      </c>
      <c r="D31" s="18">
        <f>'PAAR UPDATE'!D34</f>
        <v>0</v>
      </c>
      <c r="E31" s="19" t="str">
        <f>'PAAR UPDATE'!E34</f>
        <v/>
      </c>
      <c r="F31" s="26">
        <f>'PAAR UPDATE'!F34</f>
        <v>0</v>
      </c>
      <c r="G31" s="19"/>
      <c r="H31" s="19">
        <f t="shared" si="0"/>
        <v>0</v>
      </c>
      <c r="I31" s="24"/>
      <c r="J31" s="28"/>
    </row>
    <row r="32" spans="1:10" x14ac:dyDescent="0.35">
      <c r="A32" s="27">
        <f>IFERROR(IF('PAAR UPDATE'!$B$10="English",'PAAR UPDATE'!$A35,IF('PAAR UPDATE'!$B$10="Français",VLOOKUP('PAAR UPDATE'!$A35,For_EN[],3,0),IF('PAAR UPDATE'!$B$10="Español",VLOOKUP('PAAR UPDATE'!$A35,For_EN[[Español]:[English]],2,0)))),0)</f>
        <v>0</v>
      </c>
      <c r="B32" s="27">
        <f>IFERROR(IF('PAAR UPDATE'!$B$10="English",'PAAR UPDATE'!$B35,IF('PAAR UPDATE'!$B$10="Français",VLOOKUP('PAAR UPDATE'!$B35,For_EN[],3,0),IF('PAAR UPDATE'!$B$10="Español",VLOOKUP('PAAR UPDATE'!$B35,For_EN[[Español]:[English]],2,0)))),0)</f>
        <v>0</v>
      </c>
      <c r="C32" s="27">
        <f>IFERROR(IF('PAAR UPDATE'!$B$10="English",'PAAR UPDATE'!$C35,IF('PAAR UPDATE'!$B$10="Français",VLOOKUP('PAAR UPDATE'!$C35,For_EN[],3,0),IF('PAAR UPDATE'!$B$10="Español",VLOOKUP('PAAR UPDATE'!$C35,For_EN[[Español]:[English]],2,0)))),0)</f>
        <v>0</v>
      </c>
      <c r="D32" s="18">
        <f>'PAAR UPDATE'!D35</f>
        <v>0</v>
      </c>
      <c r="E32" s="19" t="str">
        <f>'PAAR UPDATE'!E35</f>
        <v/>
      </c>
      <c r="F32" s="26">
        <f>'PAAR UPDATE'!F35</f>
        <v>0</v>
      </c>
      <c r="G32" s="19"/>
      <c r="H32" s="19">
        <f t="shared" si="0"/>
        <v>0</v>
      </c>
      <c r="I32" s="24"/>
      <c r="J32" s="28"/>
    </row>
    <row r="33" spans="1:10" x14ac:dyDescent="0.35">
      <c r="A33" s="27">
        <f>IFERROR(IF('PAAR UPDATE'!$B$10="English",'PAAR UPDATE'!$A36,IF('PAAR UPDATE'!$B$10="Français",VLOOKUP('PAAR UPDATE'!$A36,For_EN[],3,0),IF('PAAR UPDATE'!$B$10="Español",VLOOKUP('PAAR UPDATE'!$A36,For_EN[[Español]:[English]],2,0)))),0)</f>
        <v>0</v>
      </c>
      <c r="B33" s="27">
        <f>IFERROR(IF('PAAR UPDATE'!$B$10="English",'PAAR UPDATE'!$B36,IF('PAAR UPDATE'!$B$10="Français",VLOOKUP('PAAR UPDATE'!$B36,For_EN[],3,0),IF('PAAR UPDATE'!$B$10="Español",VLOOKUP('PAAR UPDATE'!$B36,For_EN[[Español]:[English]],2,0)))),0)</f>
        <v>0</v>
      </c>
      <c r="C33" s="27">
        <f>IFERROR(IF('PAAR UPDATE'!$B$10="English",'PAAR UPDATE'!$C36,IF('PAAR UPDATE'!$B$10="Français",VLOOKUP('PAAR UPDATE'!$C36,For_EN[],3,0),IF('PAAR UPDATE'!$B$10="Español",VLOOKUP('PAAR UPDATE'!$C36,For_EN[[Español]:[English]],2,0)))),0)</f>
        <v>0</v>
      </c>
      <c r="D33" s="18">
        <f>'PAAR UPDATE'!D36</f>
        <v>0</v>
      </c>
      <c r="E33" s="19" t="str">
        <f>'PAAR UPDATE'!E36</f>
        <v/>
      </c>
      <c r="F33" s="26">
        <f>'PAAR UPDATE'!F36</f>
        <v>0</v>
      </c>
      <c r="G33" s="19"/>
      <c r="H33" s="19">
        <f t="shared" si="0"/>
        <v>0</v>
      </c>
      <c r="I33" s="24"/>
      <c r="J33" s="28"/>
    </row>
    <row r="34" spans="1:10" x14ac:dyDescent="0.35">
      <c r="A34" s="27">
        <f>IFERROR(IF('PAAR UPDATE'!$B$10="English",'PAAR UPDATE'!$A37,IF('PAAR UPDATE'!$B$10="Français",VLOOKUP('PAAR UPDATE'!$A37,For_EN[],3,0),IF('PAAR UPDATE'!$B$10="Español",VLOOKUP('PAAR UPDATE'!$A37,For_EN[[Español]:[English]],2,0)))),0)</f>
        <v>0</v>
      </c>
      <c r="B34" s="27">
        <f>IFERROR(IF('PAAR UPDATE'!$B$10="English",'PAAR UPDATE'!$B37,IF('PAAR UPDATE'!$B$10="Français",VLOOKUP('PAAR UPDATE'!$B37,For_EN[],3,0),IF('PAAR UPDATE'!$B$10="Español",VLOOKUP('PAAR UPDATE'!$B37,For_EN[[Español]:[English]],2,0)))),0)</f>
        <v>0</v>
      </c>
      <c r="C34" s="27">
        <f>IFERROR(IF('PAAR UPDATE'!$B$10="English",'PAAR UPDATE'!$C37,IF('PAAR UPDATE'!$B$10="Français",VLOOKUP('PAAR UPDATE'!$C37,For_EN[],3,0),IF('PAAR UPDATE'!$B$10="Español",VLOOKUP('PAAR UPDATE'!$C37,For_EN[[Español]:[English]],2,0)))),0)</f>
        <v>0</v>
      </c>
      <c r="D34" s="18">
        <f>'PAAR UPDATE'!D37</f>
        <v>0</v>
      </c>
      <c r="E34" s="19" t="str">
        <f>'PAAR UPDATE'!E37</f>
        <v/>
      </c>
      <c r="F34" s="26">
        <f>'PAAR UPDATE'!F37</f>
        <v>0</v>
      </c>
      <c r="G34" s="19"/>
      <c r="H34" s="19">
        <f t="shared" si="0"/>
        <v>0</v>
      </c>
      <c r="I34" s="24"/>
      <c r="J34" s="28"/>
    </row>
    <row r="35" spans="1:10" x14ac:dyDescent="0.35">
      <c r="A35" s="27">
        <f>IFERROR(IF('PAAR UPDATE'!$B$10="English",'PAAR UPDATE'!$A38,IF('PAAR UPDATE'!$B$10="Français",VLOOKUP('PAAR UPDATE'!$A38,For_EN[],3,0),IF('PAAR UPDATE'!$B$10="Español",VLOOKUP('PAAR UPDATE'!$A38,For_EN[[Español]:[English]],2,0)))),0)</f>
        <v>0</v>
      </c>
      <c r="B35" s="27">
        <f>IFERROR(IF('PAAR UPDATE'!$B$10="English",'PAAR UPDATE'!$B38,IF('PAAR UPDATE'!$B$10="Français",VLOOKUP('PAAR UPDATE'!$B38,For_EN[],3,0),IF('PAAR UPDATE'!$B$10="Español",VLOOKUP('PAAR UPDATE'!$B38,For_EN[[Español]:[English]],2,0)))),0)</f>
        <v>0</v>
      </c>
      <c r="C35" s="27">
        <f>IFERROR(IF('PAAR UPDATE'!$B$10="English",'PAAR UPDATE'!$C38,IF('PAAR UPDATE'!$B$10="Français",VLOOKUP('PAAR UPDATE'!$C38,For_EN[],3,0),IF('PAAR UPDATE'!$B$10="Español",VLOOKUP('PAAR UPDATE'!$C38,For_EN[[Español]:[English]],2,0)))),0)</f>
        <v>0</v>
      </c>
      <c r="D35" s="18">
        <f>'PAAR UPDATE'!D38</f>
        <v>0</v>
      </c>
      <c r="E35" s="19" t="str">
        <f>'PAAR UPDATE'!E38</f>
        <v/>
      </c>
      <c r="F35" s="26">
        <f>'PAAR UPDATE'!F38</f>
        <v>0</v>
      </c>
      <c r="G35" s="19"/>
      <c r="H35" s="19">
        <f t="shared" si="0"/>
        <v>0</v>
      </c>
      <c r="I35" s="24"/>
      <c r="J35" s="28"/>
    </row>
    <row r="36" spans="1:10" x14ac:dyDescent="0.35">
      <c r="A36" s="27">
        <f>IFERROR(IF('PAAR UPDATE'!$B$10="English",'PAAR UPDATE'!$A39,IF('PAAR UPDATE'!$B$10="Français",VLOOKUP('PAAR UPDATE'!$A39,For_EN[],3,0),IF('PAAR UPDATE'!$B$10="Español",VLOOKUP('PAAR UPDATE'!$A39,For_EN[[Español]:[English]],2,0)))),0)</f>
        <v>0</v>
      </c>
      <c r="B36" s="27">
        <f>IFERROR(IF('PAAR UPDATE'!$B$10="English",'PAAR UPDATE'!$B39,IF('PAAR UPDATE'!$B$10="Français",VLOOKUP('PAAR UPDATE'!$B39,For_EN[],3,0),IF('PAAR UPDATE'!$B$10="Español",VLOOKUP('PAAR UPDATE'!$B39,For_EN[[Español]:[English]],2,0)))),0)</f>
        <v>0</v>
      </c>
      <c r="C36" s="27">
        <f>IFERROR(IF('PAAR UPDATE'!$B$10="English",'PAAR UPDATE'!$C39,IF('PAAR UPDATE'!$B$10="Français",VLOOKUP('PAAR UPDATE'!$C39,For_EN[],3,0),IF('PAAR UPDATE'!$B$10="Español",VLOOKUP('PAAR UPDATE'!$C39,For_EN[[Español]:[English]],2,0)))),0)</f>
        <v>0</v>
      </c>
      <c r="D36" s="18">
        <f>'PAAR UPDATE'!D39</f>
        <v>0</v>
      </c>
      <c r="E36" s="19" t="str">
        <f>'PAAR UPDATE'!E39</f>
        <v/>
      </c>
      <c r="F36" s="26">
        <f>'PAAR UPDATE'!F39</f>
        <v>0</v>
      </c>
      <c r="G36" s="19"/>
      <c r="H36" s="19">
        <f t="shared" si="0"/>
        <v>0</v>
      </c>
      <c r="I36" s="24"/>
      <c r="J36" s="28"/>
    </row>
    <row r="37" spans="1:10" x14ac:dyDescent="0.35">
      <c r="A37" s="27">
        <f>IFERROR(IF('PAAR UPDATE'!$B$10="English",'PAAR UPDATE'!$A40,IF('PAAR UPDATE'!$B$10="Français",VLOOKUP('PAAR UPDATE'!$A40,For_EN[],3,0),IF('PAAR UPDATE'!$B$10="Español",VLOOKUP('PAAR UPDATE'!$A40,For_EN[[Español]:[English]],2,0)))),0)</f>
        <v>0</v>
      </c>
      <c r="B37" s="27">
        <f>IFERROR(IF('PAAR UPDATE'!$B$10="English",'PAAR UPDATE'!$B40,IF('PAAR UPDATE'!$B$10="Français",VLOOKUP('PAAR UPDATE'!$B40,For_EN[],3,0),IF('PAAR UPDATE'!$B$10="Español",VLOOKUP('PAAR UPDATE'!$B40,For_EN[[Español]:[English]],2,0)))),0)</f>
        <v>0</v>
      </c>
      <c r="C37" s="27">
        <f>IFERROR(IF('PAAR UPDATE'!$B$10="English",'PAAR UPDATE'!$C40,IF('PAAR UPDATE'!$B$10="Français",VLOOKUP('PAAR UPDATE'!$C40,For_EN[],3,0),IF('PAAR UPDATE'!$B$10="Español",VLOOKUP('PAAR UPDATE'!$C40,For_EN[[Español]:[English]],2,0)))),0)</f>
        <v>0</v>
      </c>
      <c r="D37" s="18">
        <f>'PAAR UPDATE'!D40</f>
        <v>0</v>
      </c>
      <c r="E37" s="19" t="str">
        <f>'PAAR UPDATE'!E40</f>
        <v/>
      </c>
      <c r="F37" s="26">
        <f>'PAAR UPDATE'!F40</f>
        <v>0</v>
      </c>
      <c r="G37" s="19"/>
      <c r="H37" s="19">
        <f t="shared" si="0"/>
        <v>0</v>
      </c>
      <c r="I37" s="24"/>
      <c r="J37" s="28"/>
    </row>
    <row r="38" spans="1:10" x14ac:dyDescent="0.35">
      <c r="A38" s="27">
        <f>IFERROR(IF('PAAR UPDATE'!$B$10="English",'PAAR UPDATE'!$A96,IF('PAAR UPDATE'!$B$10="Français",VLOOKUP('PAAR UPDATE'!$A96,For_EN[],3,0),IF('PAAR UPDATE'!$B$10="Español",VLOOKUP('PAAR UPDATE'!$A96,For_EN[[Español]:[English]],2,0)))),0)</f>
        <v>0</v>
      </c>
      <c r="B38" s="27">
        <f>IFERROR(IF('PAAR UPDATE'!$B$10="English",'PAAR UPDATE'!$B96,IF('PAAR UPDATE'!$B$10="Français",VLOOKUP('PAAR UPDATE'!$B96,For_EN[],3,0),IF('PAAR UPDATE'!$B$10="Español",VLOOKUP('PAAR UPDATE'!$B96,For_EN[[Español]:[English]],2,0)))),0)</f>
        <v>0</v>
      </c>
      <c r="C38" s="27">
        <f>IFERROR(IF('PAAR UPDATE'!$B$10="English",'PAAR UPDATE'!$C96,IF('PAAR UPDATE'!$B$10="Français",VLOOKUP('PAAR UPDATE'!$C96,For_EN[],3,0),IF('PAAR UPDATE'!$B$10="Español",VLOOKUP('PAAR UPDATE'!$C96,For_EN[[Español]:[English]],2,0)))),0)</f>
        <v>0</v>
      </c>
      <c r="D38" s="18">
        <f>'PAAR UPDATE'!D96</f>
        <v>0</v>
      </c>
      <c r="E38" s="19" t="str">
        <f>'PAAR UPDATE'!E96</f>
        <v/>
      </c>
      <c r="F38" s="26">
        <f>'PAAR UPDATE'!F96</f>
        <v>0</v>
      </c>
      <c r="G38" s="19"/>
      <c r="H38" s="19">
        <f t="shared" si="0"/>
        <v>0</v>
      </c>
      <c r="I38" s="24"/>
      <c r="J38" s="28"/>
    </row>
    <row r="39" spans="1:10" x14ac:dyDescent="0.35">
      <c r="A39" s="27">
        <f>IFERROR(IF('PAAR UPDATE'!$B$10="English",'PAAR UPDATE'!$A97,IF('PAAR UPDATE'!$B$10="Français",VLOOKUP('PAAR UPDATE'!$A97,For_EN[],3,0),IF('PAAR UPDATE'!$B$10="Español",VLOOKUP('PAAR UPDATE'!$A97,For_EN[[Español]:[English]],2,0)))),0)</f>
        <v>0</v>
      </c>
      <c r="B39" s="27">
        <f>IFERROR(IF('PAAR UPDATE'!$B$10="English",'PAAR UPDATE'!$B97,IF('PAAR UPDATE'!$B$10="Français",VLOOKUP('PAAR UPDATE'!$B97,For_EN[],3,0),IF('PAAR UPDATE'!$B$10="Español",VLOOKUP('PAAR UPDATE'!$B97,For_EN[[Español]:[English]],2,0)))),0)</f>
        <v>0</v>
      </c>
      <c r="C39" s="27">
        <f>IFERROR(IF('PAAR UPDATE'!$B$10="English",'PAAR UPDATE'!$C97,IF('PAAR UPDATE'!$B$10="Français",VLOOKUP('PAAR UPDATE'!$C97,For_EN[],3,0),IF('PAAR UPDATE'!$B$10="Español",VLOOKUP('PAAR UPDATE'!$C97,For_EN[[Español]:[English]],2,0)))),0)</f>
        <v>0</v>
      </c>
      <c r="D39" s="18">
        <f>'PAAR UPDATE'!D97</f>
        <v>0</v>
      </c>
      <c r="E39" s="19" t="str">
        <f>'PAAR UPDATE'!E97</f>
        <v/>
      </c>
      <c r="F39" s="26">
        <f>'PAAR UPDATE'!F97</f>
        <v>0</v>
      </c>
      <c r="G39" s="19"/>
      <c r="H39" s="19">
        <f t="shared" si="0"/>
        <v>0</v>
      </c>
      <c r="I39" s="24"/>
      <c r="J39" s="28"/>
    </row>
    <row r="40" spans="1:10" x14ac:dyDescent="0.35">
      <c r="A40" s="27">
        <f>IFERROR(IF('PAAR UPDATE'!$B$10="English",'PAAR UPDATE'!$A98,IF('PAAR UPDATE'!$B$10="Français",VLOOKUP('PAAR UPDATE'!$A98,For_EN[],3,0),IF('PAAR UPDATE'!$B$10="Español",VLOOKUP('PAAR UPDATE'!$A98,For_EN[[Español]:[English]],2,0)))),0)</f>
        <v>0</v>
      </c>
      <c r="B40" s="27">
        <f>IFERROR(IF('PAAR UPDATE'!$B$10="English",'PAAR UPDATE'!$B98,IF('PAAR UPDATE'!$B$10="Français",VLOOKUP('PAAR UPDATE'!$B98,For_EN[],3,0),IF('PAAR UPDATE'!$B$10="Español",VLOOKUP('PAAR UPDATE'!$B98,For_EN[[Español]:[English]],2,0)))),0)</f>
        <v>0</v>
      </c>
      <c r="C40" s="27">
        <f>IFERROR(IF('PAAR UPDATE'!$B$10="English",'PAAR UPDATE'!$C98,IF('PAAR UPDATE'!$B$10="Français",VLOOKUP('PAAR UPDATE'!$C98,For_EN[],3,0),IF('PAAR UPDATE'!$B$10="Español",VLOOKUP('PAAR UPDATE'!$C98,For_EN[[Español]:[English]],2,0)))),0)</f>
        <v>0</v>
      </c>
      <c r="D40" s="18">
        <f>'PAAR UPDATE'!D98</f>
        <v>0</v>
      </c>
      <c r="E40" s="19" t="str">
        <f>'PAAR UPDATE'!E98</f>
        <v/>
      </c>
      <c r="F40" s="26">
        <f>'PAAR UPDATE'!F98</f>
        <v>0</v>
      </c>
      <c r="G40" s="19"/>
      <c r="H40" s="19">
        <f t="shared" si="0"/>
        <v>0</v>
      </c>
      <c r="I40" s="24"/>
      <c r="J40" s="28"/>
    </row>
    <row r="41" spans="1:10" x14ac:dyDescent="0.35">
      <c r="A41" s="27">
        <f>IFERROR(IF('PAAR UPDATE'!$B$10="English",'PAAR UPDATE'!$A99,IF('PAAR UPDATE'!$B$10="Français",VLOOKUP('PAAR UPDATE'!$A99,For_EN[],3,0),IF('PAAR UPDATE'!$B$10="Español",VLOOKUP('PAAR UPDATE'!$A99,For_EN[[Español]:[English]],2,0)))),0)</f>
        <v>0</v>
      </c>
      <c r="B41" s="27">
        <f>IFERROR(IF('PAAR UPDATE'!$B$10="English",'PAAR UPDATE'!$B99,IF('PAAR UPDATE'!$B$10="Français",VLOOKUP('PAAR UPDATE'!$B99,For_EN[],3,0),IF('PAAR UPDATE'!$B$10="Español",VLOOKUP('PAAR UPDATE'!$B99,For_EN[[Español]:[English]],2,0)))),0)</f>
        <v>0</v>
      </c>
      <c r="C41" s="27">
        <f>IFERROR(IF('PAAR UPDATE'!$B$10="English",'PAAR UPDATE'!$C99,IF('PAAR UPDATE'!$B$10="Français",VLOOKUP('PAAR UPDATE'!$C99,For_EN[],3,0),IF('PAAR UPDATE'!$B$10="Español",VLOOKUP('PAAR UPDATE'!$C99,For_EN[[Español]:[English]],2,0)))),0)</f>
        <v>0</v>
      </c>
      <c r="D41" s="18">
        <f>'PAAR UPDATE'!D99</f>
        <v>0</v>
      </c>
      <c r="E41" s="19" t="str">
        <f>'PAAR UPDATE'!E99</f>
        <v/>
      </c>
      <c r="F41" s="26">
        <f>'PAAR UPDATE'!F99</f>
        <v>0</v>
      </c>
      <c r="G41" s="19"/>
      <c r="H41" s="19">
        <f t="shared" si="0"/>
        <v>0</v>
      </c>
      <c r="I41" s="24"/>
      <c r="J41" s="28"/>
    </row>
    <row r="42" spans="1:10" x14ac:dyDescent="0.35">
      <c r="A42" s="27">
        <f>IFERROR(IF('PAAR UPDATE'!$B$10="English",'PAAR UPDATE'!$A100,IF('PAAR UPDATE'!$B$10="Français",VLOOKUP('PAAR UPDATE'!$A100,For_EN[],3,0),IF('PAAR UPDATE'!$B$10="Español",VLOOKUP('PAAR UPDATE'!$A100,For_EN[[Español]:[English]],2,0)))),0)</f>
        <v>0</v>
      </c>
      <c r="B42" s="27">
        <f>IFERROR(IF('PAAR UPDATE'!$B$10="English",'PAAR UPDATE'!$B100,IF('PAAR UPDATE'!$B$10="Français",VLOOKUP('PAAR UPDATE'!$B100,For_EN[],3,0),IF('PAAR UPDATE'!$B$10="Español",VLOOKUP('PAAR UPDATE'!$B100,For_EN[[Español]:[English]],2,0)))),0)</f>
        <v>0</v>
      </c>
      <c r="C42" s="27">
        <f>IFERROR(IF('PAAR UPDATE'!$B$10="English",'PAAR UPDATE'!$C100,IF('PAAR UPDATE'!$B$10="Français",VLOOKUP('PAAR UPDATE'!$C100,For_EN[],3,0),IF('PAAR UPDATE'!$B$10="Español",VLOOKUP('PAAR UPDATE'!$C100,For_EN[[Español]:[English]],2,0)))),0)</f>
        <v>0</v>
      </c>
      <c r="D42" s="18">
        <f>'PAAR UPDATE'!D100</f>
        <v>0</v>
      </c>
      <c r="E42" s="19" t="str">
        <f>'PAAR UPDATE'!E100</f>
        <v/>
      </c>
      <c r="F42" s="26">
        <f>'PAAR UPDATE'!F100</f>
        <v>0</v>
      </c>
      <c r="G42" s="19"/>
      <c r="H42" s="19">
        <f t="shared" si="0"/>
        <v>0</v>
      </c>
      <c r="I42" s="24"/>
      <c r="J42" s="28"/>
    </row>
    <row r="43" spans="1:10" x14ac:dyDescent="0.35">
      <c r="A43" s="27">
        <f>IFERROR(IF('PAAR UPDATE'!$B$10="English",'PAAR UPDATE'!$A101,IF('PAAR UPDATE'!$B$10="Français",VLOOKUP('PAAR UPDATE'!$A101,For_EN[],3,0),IF('PAAR UPDATE'!$B$10="Español",VLOOKUP('PAAR UPDATE'!$A101,For_EN[[Español]:[English]],2,0)))),0)</f>
        <v>0</v>
      </c>
      <c r="B43" s="27">
        <f>IFERROR(IF('PAAR UPDATE'!$B$10="English",'PAAR UPDATE'!$B101,IF('PAAR UPDATE'!$B$10="Français",VLOOKUP('PAAR UPDATE'!$B101,For_EN[],3,0),IF('PAAR UPDATE'!$B$10="Español",VLOOKUP('PAAR UPDATE'!$B101,For_EN[[Español]:[English]],2,0)))),0)</f>
        <v>0</v>
      </c>
      <c r="C43" s="27">
        <f>IFERROR(IF('PAAR UPDATE'!$B$10="English",'PAAR UPDATE'!$C101,IF('PAAR UPDATE'!$B$10="Français",VLOOKUP('PAAR UPDATE'!$C101,For_EN[],3,0),IF('PAAR UPDATE'!$B$10="Español",VLOOKUP('PAAR UPDATE'!$C101,For_EN[[Español]:[English]],2,0)))),0)</f>
        <v>0</v>
      </c>
      <c r="D43" s="18">
        <f>'PAAR UPDATE'!D101</f>
        <v>0</v>
      </c>
      <c r="E43" s="19" t="str">
        <f>'PAAR UPDATE'!E101</f>
        <v/>
      </c>
      <c r="F43" s="26">
        <f>'PAAR UPDATE'!F101</f>
        <v>0</v>
      </c>
      <c r="G43" s="19"/>
      <c r="H43" s="19">
        <f t="shared" si="0"/>
        <v>0</v>
      </c>
      <c r="I43" s="24"/>
      <c r="J43" s="28"/>
    </row>
    <row r="44" spans="1:10" x14ac:dyDescent="0.35">
      <c r="A44" s="27">
        <f>IFERROR(IF('PAAR UPDATE'!$B$10="English",'PAAR UPDATE'!$A102,IF('PAAR UPDATE'!$B$10="Français",VLOOKUP('PAAR UPDATE'!$A102,For_EN[],3,0),IF('PAAR UPDATE'!$B$10="Español",VLOOKUP('PAAR UPDATE'!$A102,For_EN[[Español]:[English]],2,0)))),0)</f>
        <v>0</v>
      </c>
      <c r="B44" s="27">
        <f>IFERROR(IF('PAAR UPDATE'!$B$10="English",'PAAR UPDATE'!$B102,IF('PAAR UPDATE'!$B$10="Français",VLOOKUP('PAAR UPDATE'!$B102,For_EN[],3,0),IF('PAAR UPDATE'!$B$10="Español",VLOOKUP('PAAR UPDATE'!$B102,For_EN[[Español]:[English]],2,0)))),0)</f>
        <v>0</v>
      </c>
      <c r="C44" s="27">
        <f>IFERROR(IF('PAAR UPDATE'!$B$10="English",'PAAR UPDATE'!$C102,IF('PAAR UPDATE'!$B$10="Français",VLOOKUP('PAAR UPDATE'!$C102,For_EN[],3,0),IF('PAAR UPDATE'!$B$10="Español",VLOOKUP('PAAR UPDATE'!$C102,For_EN[[Español]:[English]],2,0)))),0)</f>
        <v>0</v>
      </c>
      <c r="D44" s="18">
        <f>'PAAR UPDATE'!D102</f>
        <v>0</v>
      </c>
      <c r="E44" s="19" t="str">
        <f>'PAAR UPDATE'!E102</f>
        <v/>
      </c>
      <c r="F44" s="26">
        <f>'PAAR UPDATE'!F102</f>
        <v>0</v>
      </c>
      <c r="G44" s="19"/>
      <c r="H44" s="19">
        <f t="shared" si="0"/>
        <v>0</v>
      </c>
      <c r="I44" s="24"/>
      <c r="J44" s="28"/>
    </row>
    <row r="45" spans="1:10" x14ac:dyDescent="0.35">
      <c r="A45" s="27">
        <f>IFERROR(IF('PAAR UPDATE'!$B$10="English",'PAAR UPDATE'!$A103,IF('PAAR UPDATE'!$B$10="Français",VLOOKUP('PAAR UPDATE'!$A103,For_EN[],3,0),IF('PAAR UPDATE'!$B$10="Español",VLOOKUP('PAAR UPDATE'!$A103,For_EN[[Español]:[English]],2,0)))),0)</f>
        <v>0</v>
      </c>
      <c r="B45" s="27">
        <f>IFERROR(IF('PAAR UPDATE'!$B$10="English",'PAAR UPDATE'!$B103,IF('PAAR UPDATE'!$B$10="Français",VLOOKUP('PAAR UPDATE'!$B103,For_EN[],3,0),IF('PAAR UPDATE'!$B$10="Español",VLOOKUP('PAAR UPDATE'!$B103,For_EN[[Español]:[English]],2,0)))),0)</f>
        <v>0</v>
      </c>
      <c r="C45" s="27">
        <f>IFERROR(IF('PAAR UPDATE'!$B$10="English",'PAAR UPDATE'!$C103,IF('PAAR UPDATE'!$B$10="Français",VLOOKUP('PAAR UPDATE'!$C103,For_EN[],3,0),IF('PAAR UPDATE'!$B$10="Español",VLOOKUP('PAAR UPDATE'!$C103,For_EN[[Español]:[English]],2,0)))),0)</f>
        <v>0</v>
      </c>
      <c r="D45" s="18">
        <f>'PAAR UPDATE'!D103</f>
        <v>0</v>
      </c>
      <c r="E45" s="19" t="str">
        <f>'PAAR UPDATE'!E103</f>
        <v/>
      </c>
      <c r="F45" s="26">
        <f>'PAAR UPDATE'!F103</f>
        <v>0</v>
      </c>
      <c r="G45" s="19"/>
      <c r="H45" s="19">
        <f t="shared" si="0"/>
        <v>0</v>
      </c>
      <c r="I45" s="24"/>
      <c r="J45" s="28"/>
    </row>
    <row r="46" spans="1:10" x14ac:dyDescent="0.35">
      <c r="A46" s="27">
        <f>IFERROR(IF('PAAR UPDATE'!$B$10="English",'PAAR UPDATE'!$A104,IF('PAAR UPDATE'!$B$10="Français",VLOOKUP('PAAR UPDATE'!$A104,For_EN[],3,0),IF('PAAR UPDATE'!$B$10="Español",VLOOKUP('PAAR UPDATE'!$A104,For_EN[[Español]:[English]],2,0)))),0)</f>
        <v>0</v>
      </c>
      <c r="B46" s="27">
        <f>IFERROR(IF('PAAR UPDATE'!$B$10="English",'PAAR UPDATE'!$B104,IF('PAAR UPDATE'!$B$10="Français",VLOOKUP('PAAR UPDATE'!$B104,For_EN[],3,0),IF('PAAR UPDATE'!$B$10="Español",VLOOKUP('PAAR UPDATE'!$B104,For_EN[[Español]:[English]],2,0)))),0)</f>
        <v>0</v>
      </c>
      <c r="C46" s="27">
        <f>IFERROR(IF('PAAR UPDATE'!$B$10="English",'PAAR UPDATE'!$C104,IF('PAAR UPDATE'!$B$10="Français",VLOOKUP('PAAR UPDATE'!$C104,For_EN[],3,0),IF('PAAR UPDATE'!$B$10="Español",VLOOKUP('PAAR UPDATE'!$C104,For_EN[[Español]:[English]],2,0)))),0)</f>
        <v>0</v>
      </c>
      <c r="D46" s="18">
        <f>'PAAR UPDATE'!D104</f>
        <v>0</v>
      </c>
      <c r="E46" s="19" t="str">
        <f>'PAAR UPDATE'!E104</f>
        <v/>
      </c>
      <c r="F46" s="26">
        <f>'PAAR UPDATE'!F104</f>
        <v>0</v>
      </c>
      <c r="G46" s="19"/>
      <c r="H46" s="19">
        <f t="shared" si="0"/>
        <v>0</v>
      </c>
      <c r="I46" s="24"/>
      <c r="J46" s="28"/>
    </row>
    <row r="47" spans="1:10" x14ac:dyDescent="0.35">
      <c r="A47" s="27">
        <f>IFERROR(IF('PAAR UPDATE'!$B$10="English",'PAAR UPDATE'!$A105,IF('PAAR UPDATE'!$B$10="Français",VLOOKUP('PAAR UPDATE'!$A105,For_EN[],3,0),IF('PAAR UPDATE'!$B$10="Español",VLOOKUP('PAAR UPDATE'!$A105,For_EN[[Español]:[English]],2,0)))),0)</f>
        <v>0</v>
      </c>
      <c r="B47" s="27">
        <f>IFERROR(IF('PAAR UPDATE'!$B$10="English",'PAAR UPDATE'!$B105,IF('PAAR UPDATE'!$B$10="Français",VLOOKUP('PAAR UPDATE'!$B105,For_EN[],3,0),IF('PAAR UPDATE'!$B$10="Español",VLOOKUP('PAAR UPDATE'!$B105,For_EN[[Español]:[English]],2,0)))),0)</f>
        <v>0</v>
      </c>
      <c r="C47" s="27">
        <f>IFERROR(IF('PAAR UPDATE'!$B$10="English",'PAAR UPDATE'!$C105,IF('PAAR UPDATE'!$B$10="Français",VLOOKUP('PAAR UPDATE'!$C105,For_EN[],3,0),IF('PAAR UPDATE'!$B$10="Español",VLOOKUP('PAAR UPDATE'!$C105,For_EN[[Español]:[English]],2,0)))),0)</f>
        <v>0</v>
      </c>
      <c r="D47" s="18">
        <f>'PAAR UPDATE'!D105</f>
        <v>0</v>
      </c>
      <c r="E47" s="19" t="str">
        <f>'PAAR UPDATE'!E105</f>
        <v/>
      </c>
      <c r="F47" s="26">
        <f>'PAAR UPDATE'!F105</f>
        <v>0</v>
      </c>
      <c r="G47" s="19"/>
      <c r="H47" s="19">
        <f t="shared" si="0"/>
        <v>0</v>
      </c>
      <c r="I47" s="24"/>
      <c r="J47" s="28"/>
    </row>
    <row r="48" spans="1:10" x14ac:dyDescent="0.35">
      <c r="A48" s="27">
        <f>IFERROR(IF('PAAR UPDATE'!$B$10="English",'PAAR UPDATE'!$A106,IF('PAAR UPDATE'!$B$10="Français",VLOOKUP('PAAR UPDATE'!$A106,For_EN[],3,0),IF('PAAR UPDATE'!$B$10="Español",VLOOKUP('PAAR UPDATE'!$A106,For_EN[[Español]:[English]],2,0)))),0)</f>
        <v>0</v>
      </c>
      <c r="B48" s="27">
        <f>IFERROR(IF('PAAR UPDATE'!$B$10="English",'PAAR UPDATE'!$B106,IF('PAAR UPDATE'!$B$10="Français",VLOOKUP('PAAR UPDATE'!$B106,For_EN[],3,0),IF('PAAR UPDATE'!$B$10="Español",VLOOKUP('PAAR UPDATE'!$B106,For_EN[[Español]:[English]],2,0)))),0)</f>
        <v>0</v>
      </c>
      <c r="C48" s="27">
        <f>IFERROR(IF('PAAR UPDATE'!$B$10="English",'PAAR UPDATE'!$C106,IF('PAAR UPDATE'!$B$10="Français",VLOOKUP('PAAR UPDATE'!$C106,For_EN[],3,0),IF('PAAR UPDATE'!$B$10="Español",VLOOKUP('PAAR UPDATE'!$C106,For_EN[[Español]:[English]],2,0)))),0)</f>
        <v>0</v>
      </c>
      <c r="D48" s="18">
        <f>'PAAR UPDATE'!D106</f>
        <v>0</v>
      </c>
      <c r="E48" s="19" t="str">
        <f>'PAAR UPDATE'!E106</f>
        <v/>
      </c>
      <c r="F48" s="26">
        <f>'PAAR UPDATE'!F106</f>
        <v>0</v>
      </c>
      <c r="G48" s="19"/>
      <c r="H48" s="19">
        <f t="shared" si="0"/>
        <v>0</v>
      </c>
      <c r="I48" s="24"/>
      <c r="J48" s="28"/>
    </row>
    <row r="49" spans="1:10" x14ac:dyDescent="0.35">
      <c r="A49" s="27">
        <f>IFERROR(IF('PAAR UPDATE'!$B$10="English",'PAAR UPDATE'!$A107,IF('PAAR UPDATE'!$B$10="Français",VLOOKUP('PAAR UPDATE'!$A107,For_EN[],3,0),IF('PAAR UPDATE'!$B$10="Español",VLOOKUP('PAAR UPDATE'!$A107,For_EN[[Español]:[English]],2,0)))),0)</f>
        <v>0</v>
      </c>
      <c r="B49" s="27">
        <f>IFERROR(IF('PAAR UPDATE'!$B$10="English",'PAAR UPDATE'!$B107,IF('PAAR UPDATE'!$B$10="Français",VLOOKUP('PAAR UPDATE'!$B107,For_EN[],3,0),IF('PAAR UPDATE'!$B$10="Español",VLOOKUP('PAAR UPDATE'!$B107,For_EN[[Español]:[English]],2,0)))),0)</f>
        <v>0</v>
      </c>
      <c r="C49" s="27">
        <f>IFERROR(IF('PAAR UPDATE'!$B$10="English",'PAAR UPDATE'!$C107,IF('PAAR UPDATE'!$B$10="Français",VLOOKUP('PAAR UPDATE'!$C107,For_EN[],3,0),IF('PAAR UPDATE'!$B$10="Español",VLOOKUP('PAAR UPDATE'!$C107,For_EN[[Español]:[English]],2,0)))),0)</f>
        <v>0</v>
      </c>
      <c r="D49" s="18">
        <f>'PAAR UPDATE'!D107</f>
        <v>0</v>
      </c>
      <c r="E49" s="19" t="str">
        <f>'PAAR UPDATE'!E107</f>
        <v/>
      </c>
      <c r="F49" s="26">
        <f>'PAAR UPDATE'!F107</f>
        <v>0</v>
      </c>
      <c r="G49" s="19"/>
      <c r="H49" s="19">
        <f t="shared" si="0"/>
        <v>0</v>
      </c>
      <c r="I49" s="24"/>
      <c r="J49" s="28"/>
    </row>
    <row r="50" spans="1:10" x14ac:dyDescent="0.35">
      <c r="A50" s="27">
        <f>IFERROR(IF('PAAR UPDATE'!$B$10="English",'PAAR UPDATE'!$A108,IF('PAAR UPDATE'!$B$10="Français",VLOOKUP('PAAR UPDATE'!$A108,For_EN[],3,0),IF('PAAR UPDATE'!$B$10="Español",VLOOKUP('PAAR UPDATE'!$A108,For_EN[[Español]:[English]],2,0)))),0)</f>
        <v>0</v>
      </c>
      <c r="B50" s="27">
        <f>IFERROR(IF('PAAR UPDATE'!$B$10="English",'PAAR UPDATE'!$B108,IF('PAAR UPDATE'!$B$10="Français",VLOOKUP('PAAR UPDATE'!$B108,For_EN[],3,0),IF('PAAR UPDATE'!$B$10="Español",VLOOKUP('PAAR UPDATE'!$B108,For_EN[[Español]:[English]],2,0)))),0)</f>
        <v>0</v>
      </c>
      <c r="C50" s="27">
        <f>IFERROR(IF('PAAR UPDATE'!$B$10="English",'PAAR UPDATE'!$C108,IF('PAAR UPDATE'!$B$10="Français",VLOOKUP('PAAR UPDATE'!$C108,For_EN[],3,0),IF('PAAR UPDATE'!$B$10="Español",VLOOKUP('PAAR UPDATE'!$C108,For_EN[[Español]:[English]],2,0)))),0)</f>
        <v>0</v>
      </c>
      <c r="D50" s="18">
        <f>'PAAR UPDATE'!D108</f>
        <v>0</v>
      </c>
      <c r="E50" s="19" t="str">
        <f>'PAAR UPDATE'!E108</f>
        <v/>
      </c>
      <c r="F50" s="26">
        <f>'PAAR UPDATE'!F108</f>
        <v>0</v>
      </c>
      <c r="G50" s="19"/>
      <c r="H50" s="19">
        <f t="shared" si="0"/>
        <v>0</v>
      </c>
      <c r="I50" s="24"/>
      <c r="J50" s="28"/>
    </row>
    <row r="51" spans="1:10" x14ac:dyDescent="0.35">
      <c r="A51" s="27">
        <f>IFERROR(IF('PAAR UPDATE'!$B$10="English",'PAAR UPDATE'!$A109,IF('PAAR UPDATE'!$B$10="Français",VLOOKUP('PAAR UPDATE'!$A109,For_EN[],3,0),IF('PAAR UPDATE'!$B$10="Español",VLOOKUP('PAAR UPDATE'!$A109,For_EN[[Español]:[English]],2,0)))),0)</f>
        <v>0</v>
      </c>
      <c r="B51" s="27">
        <f>IFERROR(IF('PAAR UPDATE'!$B$10="English",'PAAR UPDATE'!$B109,IF('PAAR UPDATE'!$B$10="Français",VLOOKUP('PAAR UPDATE'!$B109,For_EN[],3,0),IF('PAAR UPDATE'!$B$10="Español",VLOOKUP('PAAR UPDATE'!$B109,For_EN[[Español]:[English]],2,0)))),0)</f>
        <v>0</v>
      </c>
      <c r="C51" s="27">
        <f>IFERROR(IF('PAAR UPDATE'!$B$10="English",'PAAR UPDATE'!$C109,IF('PAAR UPDATE'!$B$10="Français",VLOOKUP('PAAR UPDATE'!$C109,For_EN[],3,0),IF('PAAR UPDATE'!$B$10="Español",VLOOKUP('PAAR UPDATE'!$C109,For_EN[[Español]:[English]],2,0)))),0)</f>
        <v>0</v>
      </c>
      <c r="D51" s="18">
        <f>'PAAR UPDATE'!D109</f>
        <v>0</v>
      </c>
      <c r="E51" s="19" t="str">
        <f>'PAAR UPDATE'!E109</f>
        <v/>
      </c>
      <c r="F51" s="26">
        <f>'PAAR UPDATE'!F109</f>
        <v>0</v>
      </c>
      <c r="G51" s="19"/>
      <c r="H51" s="19">
        <f t="shared" si="0"/>
        <v>0</v>
      </c>
      <c r="I51" s="24"/>
      <c r="J51" s="28"/>
    </row>
    <row r="52" spans="1:10" x14ac:dyDescent="0.35">
      <c r="A52" s="27">
        <f>IFERROR(IF('PAAR UPDATE'!$B$10="English",'PAAR UPDATE'!$A110,IF('PAAR UPDATE'!$B$10="Français",VLOOKUP('PAAR UPDATE'!$A110,For_EN[],3,0),IF('PAAR UPDATE'!$B$10="Español",VLOOKUP('PAAR UPDATE'!$A110,For_EN[[Español]:[English]],2,0)))),0)</f>
        <v>0</v>
      </c>
      <c r="B52" s="27">
        <f>IFERROR(IF('PAAR UPDATE'!$B$10="English",'PAAR UPDATE'!$B110,IF('PAAR UPDATE'!$B$10="Français",VLOOKUP('PAAR UPDATE'!$B110,For_EN[],3,0),IF('PAAR UPDATE'!$B$10="Español",VLOOKUP('PAAR UPDATE'!$B110,For_EN[[Español]:[English]],2,0)))),0)</f>
        <v>0</v>
      </c>
      <c r="C52" s="27">
        <f>IFERROR(IF('PAAR UPDATE'!$B$10="English",'PAAR UPDATE'!$C110,IF('PAAR UPDATE'!$B$10="Français",VLOOKUP('PAAR UPDATE'!$C110,For_EN[],3,0),IF('PAAR UPDATE'!$B$10="Español",VLOOKUP('PAAR UPDATE'!$C110,For_EN[[Español]:[English]],2,0)))),0)</f>
        <v>0</v>
      </c>
      <c r="D52" s="18">
        <f>'PAAR UPDATE'!D110</f>
        <v>0</v>
      </c>
      <c r="E52" s="19" t="str">
        <f>'PAAR UPDATE'!E110</f>
        <v/>
      </c>
      <c r="F52" s="26">
        <f>'PAAR UPDATE'!F110</f>
        <v>0</v>
      </c>
      <c r="G52" s="19"/>
      <c r="H52" s="19">
        <f t="shared" si="0"/>
        <v>0</v>
      </c>
      <c r="I52" s="24"/>
      <c r="J52" s="28"/>
    </row>
    <row r="53" spans="1:10" ht="25.4" customHeight="1" x14ac:dyDescent="0.35">
      <c r="A53" s="20" t="s">
        <v>29</v>
      </c>
      <c r="B53" s="20"/>
      <c r="C53" s="20"/>
      <c r="D53" s="21">
        <f>'PAAR UPDATE'!D111</f>
        <v>1374194</v>
      </c>
      <c r="E53" s="21">
        <f>'PAAR UPDATE'!E111</f>
        <v>1374194</v>
      </c>
      <c r="F53" s="22"/>
      <c r="G53" s="21">
        <f>SUM(G28:G52)</f>
        <v>0</v>
      </c>
      <c r="H53" s="21">
        <f>SUM(H28:H52)</f>
        <v>0</v>
      </c>
      <c r="I53" s="22"/>
      <c r="J53" s="22"/>
    </row>
  </sheetData>
  <sheetProtection formatRows="0" insertRows="0"/>
  <mergeCells count="16">
    <mergeCell ref="A20:J20"/>
    <mergeCell ref="A21:J23"/>
    <mergeCell ref="A25:J25"/>
    <mergeCell ref="A26:J26"/>
    <mergeCell ref="B13:D13"/>
    <mergeCell ref="B14:D14"/>
    <mergeCell ref="B15:D15"/>
    <mergeCell ref="B16:D16"/>
    <mergeCell ref="B17:D17"/>
    <mergeCell ref="A19:J19"/>
    <mergeCell ref="A12:D12"/>
    <mergeCell ref="A4:J4"/>
    <mergeCell ref="A5:J5"/>
    <mergeCell ref="A6:B6"/>
    <mergeCell ref="A7:B7"/>
    <mergeCell ref="A8:B8"/>
  </mergeCells>
  <dataValidations count="4">
    <dataValidation type="decimal" operator="greaterThanOrEqual" allowBlank="1" showInputMessage="1" showErrorMessage="1" sqref="J28:J52 G28:G52">
      <formula1>0</formula1>
    </dataValidation>
    <dataValidation type="decimal" operator="greaterThanOrEqual" allowBlank="1" showInputMessage="1" showErrorMessage="1" error="Please input numbers only" sqref="D28:E52">
      <formula1>0</formula1>
    </dataValidation>
    <dataValidation operator="greaterThanOrEqual" allowBlank="1" showInputMessage="1" showErrorMessage="1" error="Please input numbers only" sqref="F28:F53"/>
    <dataValidation type="decimal" operator="greaterThanOrEqual" allowBlank="1" showInputMessage="1" showErrorMessage="1" prompt="Please do not overwrite" sqref="H28:H52">
      <formula1>0</formula1>
    </dataValidation>
  </dataValidations>
  <pageMargins left="0.25" right="0.25" top="0.75" bottom="0.75" header="0.3" footer="0.3"/>
  <pageSetup paperSize="8" scale="44" fitToHeight="0" orientation="landscape" r:id="rId1"/>
  <drawing r:id="rId2"/>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x14:formula1>
            <xm:f>'Dropdown Data'!$F$18:$F$21</xm:f>
          </x14:formula1>
          <xm:sqref>I28:I52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5"/>
  <sheetViews>
    <sheetView view="pageBreakPreview" zoomScale="90" zoomScaleNormal="100" zoomScaleSheetLayoutView="90" workbookViewId="0">
      <selection activeCell="D22" sqref="D22:V22"/>
    </sheetView>
  </sheetViews>
  <sheetFormatPr defaultColWidth="9.08984375" defaultRowHeight="14" x14ac:dyDescent="0.35"/>
  <cols>
    <col min="1" max="3" width="25.90625" style="10" customWidth="1" collapsed="1"/>
    <col min="4" max="4" width="23.453125" style="10" bestFit="1" customWidth="1" collapsed="1"/>
    <col min="5" max="16384" width="9.08984375" style="10" collapsed="1"/>
  </cols>
  <sheetData>
    <row r="1" spans="1:22" ht="18" x14ac:dyDescent="0.35">
      <c r="A1" s="199" t="s">
        <v>30</v>
      </c>
      <c r="B1" s="199"/>
      <c r="C1" s="199"/>
      <c r="D1" s="199"/>
      <c r="E1" s="199"/>
      <c r="F1" s="199"/>
      <c r="G1" s="199"/>
      <c r="H1" s="199"/>
      <c r="I1" s="199"/>
      <c r="J1" s="199"/>
      <c r="K1" s="199"/>
      <c r="L1" s="199"/>
      <c r="M1" s="199"/>
      <c r="N1" s="199"/>
      <c r="O1" s="199"/>
      <c r="P1" s="199"/>
      <c r="Q1" s="199"/>
      <c r="R1" s="199"/>
      <c r="S1" s="199"/>
      <c r="T1" s="199"/>
      <c r="U1" s="199"/>
      <c r="V1" s="199"/>
    </row>
    <row r="2" spans="1:22" ht="90" customHeight="1" x14ac:dyDescent="0.35">
      <c r="A2" s="200" t="s">
        <v>31</v>
      </c>
      <c r="B2" s="200"/>
      <c r="C2" s="200"/>
      <c r="D2" s="200"/>
      <c r="E2" s="200"/>
      <c r="F2" s="200"/>
      <c r="G2" s="200"/>
      <c r="H2" s="200"/>
      <c r="I2" s="200"/>
      <c r="J2" s="200"/>
      <c r="K2" s="200"/>
      <c r="L2" s="200"/>
      <c r="M2" s="200"/>
      <c r="N2" s="200"/>
      <c r="O2" s="200"/>
      <c r="P2" s="200"/>
      <c r="Q2" s="200"/>
      <c r="R2" s="200"/>
      <c r="S2" s="200"/>
      <c r="T2" s="200"/>
      <c r="U2" s="200"/>
      <c r="V2" s="200"/>
    </row>
    <row r="3" spans="1:22" ht="15" customHeight="1" x14ac:dyDescent="0.35">
      <c r="A3" s="32" t="s">
        <v>20</v>
      </c>
      <c r="B3" s="32" t="s">
        <v>32</v>
      </c>
      <c r="C3" s="32" t="s">
        <v>22</v>
      </c>
      <c r="D3" s="201" t="s">
        <v>33</v>
      </c>
      <c r="E3" s="201"/>
      <c r="F3" s="201"/>
      <c r="G3" s="201"/>
      <c r="H3" s="201"/>
      <c r="I3" s="201"/>
      <c r="J3" s="201"/>
      <c r="K3" s="201"/>
      <c r="L3" s="201"/>
      <c r="M3" s="201"/>
      <c r="N3" s="201"/>
      <c r="O3" s="201"/>
      <c r="P3" s="201"/>
      <c r="Q3" s="201"/>
      <c r="R3" s="201"/>
      <c r="S3" s="201"/>
      <c r="T3" s="201"/>
      <c r="U3" s="201"/>
      <c r="V3" s="201"/>
    </row>
    <row r="4" spans="1:22" x14ac:dyDescent="0.35">
      <c r="A4" s="27">
        <f>IFERROR(IF('PAAR UPDATE'!$B$10="English",'Add Info-Info Supp-Info Ad'!$A4,IF('PAAR UPDATE'!$B$10="Français",VLOOKUP('Add Info-Info Supp-Info Ad'!$A4,For_EN[],3,0),IF('PAAR UPDATE'!$B$10="Español",VLOOKUP('Add Info-Info Supp-Info Ad'!$A4,For_EN[[Español]:[English]],2,0)))),0)</f>
        <v>0</v>
      </c>
      <c r="B4" s="27">
        <f>IFERROR(IF('PAAR UPDATE'!$B$10="English",'Add Info-Info Supp-Info Ad'!$B4,IF('PAAR UPDATE'!$B$10="Français",VLOOKUP('Add Info-Info Supp-Info Ad'!$B4,For_EN[],3,0),IF('PAAR UPDATE'!$B$10="Español",VLOOKUP('Add Info-Info Supp-Info Ad'!$B4,For_EN[[Español]:[English]],2,0)))),0)</f>
        <v>0</v>
      </c>
      <c r="C4" s="27">
        <f>IFERROR(IF('PAAR UPDATE'!$B$10="English",'Add Info-Info Supp-Info Ad'!$C4,IF('PAAR UPDATE'!$B$10="Français",VLOOKUP('Add Info-Info Supp-Info Ad'!$C4,For_EN[],3,0),IF('PAAR UPDATE'!$B$10="Español",VLOOKUP('Add Info-Info Supp-Info Ad'!$C4,For_EN[[Español]:[English]],2,0)))),0)</f>
        <v>0</v>
      </c>
      <c r="D4" s="203">
        <f>'Add Info-Info Supp-Info Ad'!D4</f>
        <v>0</v>
      </c>
      <c r="E4" s="203"/>
      <c r="F4" s="203"/>
      <c r="G4" s="203"/>
      <c r="H4" s="203"/>
      <c r="I4" s="203"/>
      <c r="J4" s="203"/>
      <c r="K4" s="203"/>
      <c r="L4" s="203"/>
      <c r="M4" s="203"/>
      <c r="N4" s="203"/>
      <c r="O4" s="203"/>
      <c r="P4" s="203"/>
      <c r="Q4" s="203"/>
      <c r="R4" s="203"/>
      <c r="S4" s="203"/>
      <c r="T4" s="203"/>
      <c r="U4" s="203"/>
      <c r="V4" s="203"/>
    </row>
    <row r="5" spans="1:22" ht="14.25" customHeight="1" x14ac:dyDescent="0.35">
      <c r="A5" s="27">
        <f>IFERROR(IF('PAAR UPDATE'!$B$10="English",'Add Info-Info Supp-Info Ad'!$A5,IF('PAAR UPDATE'!$B$10="Français",VLOOKUP('Add Info-Info Supp-Info Ad'!$A5,For_EN[],3,0),IF('PAAR UPDATE'!$B$10="Español",VLOOKUP('Add Info-Info Supp-Info Ad'!$A5,For_EN[[Español]:[English]],2,0)))),0)</f>
        <v>0</v>
      </c>
      <c r="B5" s="27">
        <f>IFERROR(IF('PAAR UPDATE'!$B$10="English",'Add Info-Info Supp-Info Ad'!$B5,IF('PAAR UPDATE'!$B$10="Français",VLOOKUP('Add Info-Info Supp-Info Ad'!$B5,For_EN[],3,0),IF('PAAR UPDATE'!$B$10="Español",VLOOKUP('Add Info-Info Supp-Info Ad'!$B5,For_EN[[Español]:[English]],2,0)))),0)</f>
        <v>0</v>
      </c>
      <c r="C5" s="27">
        <f>IFERROR(IF('PAAR UPDATE'!$B$10="English",'Add Info-Info Supp-Info Ad'!$C5,IF('PAAR UPDATE'!$B$10="Français",VLOOKUP('Add Info-Info Supp-Info Ad'!$C5,For_EN[],3,0),IF('PAAR UPDATE'!$B$10="Español",VLOOKUP('Add Info-Info Supp-Info Ad'!$C5,For_EN[[Español]:[English]],2,0)))),0)</f>
        <v>0</v>
      </c>
      <c r="D5" s="203">
        <f>'Add Info-Info Supp-Info Ad'!D5</f>
        <v>0</v>
      </c>
      <c r="E5" s="203"/>
      <c r="F5" s="203"/>
      <c r="G5" s="203"/>
      <c r="H5" s="203"/>
      <c r="I5" s="203"/>
      <c r="J5" s="203"/>
      <c r="K5" s="203"/>
      <c r="L5" s="203"/>
      <c r="M5" s="203"/>
      <c r="N5" s="203"/>
      <c r="O5" s="203"/>
      <c r="P5" s="203"/>
      <c r="Q5" s="203"/>
      <c r="R5" s="203"/>
      <c r="S5" s="203"/>
      <c r="T5" s="203"/>
      <c r="U5" s="203"/>
      <c r="V5" s="203"/>
    </row>
    <row r="6" spans="1:22" x14ac:dyDescent="0.35">
      <c r="A6" s="27">
        <f>IFERROR(IF('PAAR UPDATE'!$B$10="English",'Add Info-Info Supp-Info Ad'!$A6,IF('PAAR UPDATE'!$B$10="Français",VLOOKUP('Add Info-Info Supp-Info Ad'!$A6,For_EN[],3,0),IF('PAAR UPDATE'!$B$10="Español",VLOOKUP('Add Info-Info Supp-Info Ad'!$A6,For_EN[[Español]:[English]],2,0)))),0)</f>
        <v>0</v>
      </c>
      <c r="B6" s="27">
        <f>IFERROR(IF('PAAR UPDATE'!$B$10="English",'Add Info-Info Supp-Info Ad'!$B6,IF('PAAR UPDATE'!$B$10="Français",VLOOKUP('Add Info-Info Supp-Info Ad'!$B6,For_EN[],3,0),IF('PAAR UPDATE'!$B$10="Español",VLOOKUP('Add Info-Info Supp-Info Ad'!$B6,For_EN[[Español]:[English]],2,0)))),0)</f>
        <v>0</v>
      </c>
      <c r="C6" s="27">
        <f>IFERROR(IF('PAAR UPDATE'!$B$10="English",'Add Info-Info Supp-Info Ad'!$C6,IF('PAAR UPDATE'!$B$10="Français",VLOOKUP('Add Info-Info Supp-Info Ad'!$C6,For_EN[],3,0),IF('PAAR UPDATE'!$B$10="Español",VLOOKUP('Add Info-Info Supp-Info Ad'!$C6,For_EN[[Español]:[English]],2,0)))),0)</f>
        <v>0</v>
      </c>
      <c r="D6" s="203">
        <f>'Add Info-Info Supp-Info Ad'!D6</f>
        <v>0</v>
      </c>
      <c r="E6" s="203"/>
      <c r="F6" s="203"/>
      <c r="G6" s="203"/>
      <c r="H6" s="203"/>
      <c r="I6" s="203"/>
      <c r="J6" s="203"/>
      <c r="K6" s="203"/>
      <c r="L6" s="203"/>
      <c r="M6" s="203"/>
      <c r="N6" s="203"/>
      <c r="O6" s="203"/>
      <c r="P6" s="203"/>
      <c r="Q6" s="203"/>
      <c r="R6" s="203"/>
      <c r="S6" s="203"/>
      <c r="T6" s="203"/>
      <c r="U6" s="203"/>
      <c r="V6" s="203"/>
    </row>
    <row r="7" spans="1:22" x14ac:dyDescent="0.35">
      <c r="A7" s="27">
        <f>IFERROR(IF('PAAR UPDATE'!$B$10="English",'Add Info-Info Supp-Info Ad'!$A7,IF('PAAR UPDATE'!$B$10="Français",VLOOKUP('Add Info-Info Supp-Info Ad'!$A7,For_EN[],3,0),IF('PAAR UPDATE'!$B$10="Español",VLOOKUP('Add Info-Info Supp-Info Ad'!$A7,For_EN[[Español]:[English]],2,0)))),0)</f>
        <v>0</v>
      </c>
      <c r="B7" s="27">
        <f>IFERROR(IF('PAAR UPDATE'!$B$10="English",'Add Info-Info Supp-Info Ad'!$B7,IF('PAAR UPDATE'!$B$10="Français",VLOOKUP('Add Info-Info Supp-Info Ad'!$B7,For_EN[],3,0),IF('PAAR UPDATE'!$B$10="Español",VLOOKUP('Add Info-Info Supp-Info Ad'!$B7,For_EN[[Español]:[English]],2,0)))),0)</f>
        <v>0</v>
      </c>
      <c r="C7" s="27">
        <f>IFERROR(IF('PAAR UPDATE'!$B$10="English",'Add Info-Info Supp-Info Ad'!$C7,IF('PAAR UPDATE'!$B$10="Français",VLOOKUP('Add Info-Info Supp-Info Ad'!$C7,For_EN[],3,0),IF('PAAR UPDATE'!$B$10="Español",VLOOKUP('Add Info-Info Supp-Info Ad'!$C7,For_EN[[Español]:[English]],2,0)))),0)</f>
        <v>0</v>
      </c>
      <c r="D7" s="203">
        <f>'Add Info-Info Supp-Info Ad'!D7</f>
        <v>0</v>
      </c>
      <c r="E7" s="203"/>
      <c r="F7" s="203"/>
      <c r="G7" s="203"/>
      <c r="H7" s="203"/>
      <c r="I7" s="203"/>
      <c r="J7" s="203"/>
      <c r="K7" s="203"/>
      <c r="L7" s="203"/>
      <c r="M7" s="203"/>
      <c r="N7" s="203"/>
      <c r="O7" s="203"/>
      <c r="P7" s="203"/>
      <c r="Q7" s="203"/>
      <c r="R7" s="203"/>
      <c r="S7" s="203"/>
      <c r="T7" s="203"/>
      <c r="U7" s="203"/>
      <c r="V7" s="203"/>
    </row>
    <row r="8" spans="1:22" x14ac:dyDescent="0.35">
      <c r="A8" s="27">
        <f>IFERROR(IF('PAAR UPDATE'!$B$10="English",'Add Info-Info Supp-Info Ad'!$A8,IF('PAAR UPDATE'!$B$10="Français",VLOOKUP('Add Info-Info Supp-Info Ad'!$A8,For_EN[],3,0),IF('PAAR UPDATE'!$B$10="Español",VLOOKUP('Add Info-Info Supp-Info Ad'!$A8,For_EN[[Español]:[English]],2,0)))),0)</f>
        <v>0</v>
      </c>
      <c r="B8" s="27">
        <f>IFERROR(IF('PAAR UPDATE'!$B$10="English",'Add Info-Info Supp-Info Ad'!$B8,IF('PAAR UPDATE'!$B$10="Français",VLOOKUP('Add Info-Info Supp-Info Ad'!$B8,For_EN[],3,0),IF('PAAR UPDATE'!$B$10="Español",VLOOKUP('Add Info-Info Supp-Info Ad'!$B8,For_EN[[Español]:[English]],2,0)))),0)</f>
        <v>0</v>
      </c>
      <c r="C8" s="27">
        <f>IFERROR(IF('PAAR UPDATE'!$B$10="English",'Add Info-Info Supp-Info Ad'!$C8,IF('PAAR UPDATE'!$B$10="Français",VLOOKUP('Add Info-Info Supp-Info Ad'!$C8,For_EN[],3,0),IF('PAAR UPDATE'!$B$10="Español",VLOOKUP('Add Info-Info Supp-Info Ad'!$C8,For_EN[[Español]:[English]],2,0)))),0)</f>
        <v>0</v>
      </c>
      <c r="D8" s="203">
        <f>'Add Info-Info Supp-Info Ad'!D8</f>
        <v>0</v>
      </c>
      <c r="E8" s="203"/>
      <c r="F8" s="203"/>
      <c r="G8" s="203"/>
      <c r="H8" s="203"/>
      <c r="I8" s="203"/>
      <c r="J8" s="203"/>
      <c r="K8" s="203"/>
      <c r="L8" s="203"/>
      <c r="M8" s="203"/>
      <c r="N8" s="203"/>
      <c r="O8" s="203"/>
      <c r="P8" s="203"/>
      <c r="Q8" s="203"/>
      <c r="R8" s="203"/>
      <c r="S8" s="203"/>
      <c r="T8" s="203"/>
      <c r="U8" s="203"/>
      <c r="V8" s="203"/>
    </row>
    <row r="9" spans="1:22" x14ac:dyDescent="0.35">
      <c r="A9" s="27">
        <f>IFERROR(IF('PAAR UPDATE'!$B$10="English",'Add Info-Info Supp-Info Ad'!$A9,IF('PAAR UPDATE'!$B$10="Français",VLOOKUP('Add Info-Info Supp-Info Ad'!$A9,For_EN[],3,0),IF('PAAR UPDATE'!$B$10="Español",VLOOKUP('Add Info-Info Supp-Info Ad'!$A9,For_EN[[Español]:[English]],2,0)))),0)</f>
        <v>0</v>
      </c>
      <c r="B9" s="27">
        <f>IFERROR(IF('PAAR UPDATE'!$B$10="English",'Add Info-Info Supp-Info Ad'!$B9,IF('PAAR UPDATE'!$B$10="Français",VLOOKUP('Add Info-Info Supp-Info Ad'!$B9,For_EN[],3,0),IF('PAAR UPDATE'!$B$10="Español",VLOOKUP('Add Info-Info Supp-Info Ad'!$B9,For_EN[[Español]:[English]],2,0)))),0)</f>
        <v>0</v>
      </c>
      <c r="C9" s="27">
        <f>IFERROR(IF('PAAR UPDATE'!$B$10="English",'Add Info-Info Supp-Info Ad'!$C9,IF('PAAR UPDATE'!$B$10="Français",VLOOKUP('Add Info-Info Supp-Info Ad'!$C9,For_EN[],3,0),IF('PAAR UPDATE'!$B$10="Español",VLOOKUP('Add Info-Info Supp-Info Ad'!$C9,For_EN[[Español]:[English]],2,0)))),0)</f>
        <v>0</v>
      </c>
      <c r="D9" s="203">
        <f>'Add Info-Info Supp-Info Ad'!D9</f>
        <v>0</v>
      </c>
      <c r="E9" s="203"/>
      <c r="F9" s="203"/>
      <c r="G9" s="203"/>
      <c r="H9" s="203"/>
      <c r="I9" s="203"/>
      <c r="J9" s="203"/>
      <c r="K9" s="203"/>
      <c r="L9" s="203"/>
      <c r="M9" s="203"/>
      <c r="N9" s="203"/>
      <c r="O9" s="203"/>
      <c r="P9" s="203"/>
      <c r="Q9" s="203"/>
      <c r="R9" s="203"/>
      <c r="S9" s="203"/>
      <c r="T9" s="203"/>
      <c r="U9" s="203"/>
      <c r="V9" s="203"/>
    </row>
    <row r="10" spans="1:22" x14ac:dyDescent="0.35">
      <c r="A10" s="27">
        <f>IFERROR(IF('PAAR UPDATE'!$B$10="English",'Add Info-Info Supp-Info Ad'!$A10,IF('PAAR UPDATE'!$B$10="Français",VLOOKUP('Add Info-Info Supp-Info Ad'!$A10,For_EN[],3,0),IF('PAAR UPDATE'!$B$10="Español",VLOOKUP('Add Info-Info Supp-Info Ad'!$A10,For_EN[[Español]:[English]],2,0)))),0)</f>
        <v>0</v>
      </c>
      <c r="B10" s="27">
        <f>IFERROR(IF('PAAR UPDATE'!$B$10="English",'Add Info-Info Supp-Info Ad'!$B10,IF('PAAR UPDATE'!$B$10="Français",VLOOKUP('Add Info-Info Supp-Info Ad'!$B10,For_EN[],3,0),IF('PAAR UPDATE'!$B$10="Español",VLOOKUP('Add Info-Info Supp-Info Ad'!$B10,For_EN[[Español]:[English]],2,0)))),0)</f>
        <v>0</v>
      </c>
      <c r="C10" s="27">
        <f>IFERROR(IF('PAAR UPDATE'!$B$10="English",'Add Info-Info Supp-Info Ad'!$C10,IF('PAAR UPDATE'!$B$10="Français",VLOOKUP('Add Info-Info Supp-Info Ad'!$C10,For_EN[],3,0),IF('PAAR UPDATE'!$B$10="Español",VLOOKUP('Add Info-Info Supp-Info Ad'!$C10,For_EN[[Español]:[English]],2,0)))),0)</f>
        <v>0</v>
      </c>
      <c r="D10" s="203">
        <f>'Add Info-Info Supp-Info Ad'!D10</f>
        <v>0</v>
      </c>
      <c r="E10" s="203"/>
      <c r="F10" s="203"/>
      <c r="G10" s="203"/>
      <c r="H10" s="203"/>
      <c r="I10" s="203"/>
      <c r="J10" s="203"/>
      <c r="K10" s="203"/>
      <c r="L10" s="203"/>
      <c r="M10" s="203"/>
      <c r="N10" s="203"/>
      <c r="O10" s="203"/>
      <c r="P10" s="203"/>
      <c r="Q10" s="203"/>
      <c r="R10" s="203"/>
      <c r="S10" s="203"/>
      <c r="T10" s="203"/>
      <c r="U10" s="203"/>
      <c r="V10" s="203"/>
    </row>
    <row r="11" spans="1:22" x14ac:dyDescent="0.35">
      <c r="A11" s="27">
        <f>IFERROR(IF('PAAR UPDATE'!$B$10="English",'Add Info-Info Supp-Info Ad'!$A11,IF('PAAR UPDATE'!$B$10="Français",VLOOKUP('Add Info-Info Supp-Info Ad'!$A11,For_EN[],3,0),IF('PAAR UPDATE'!$B$10="Español",VLOOKUP('Add Info-Info Supp-Info Ad'!$A11,For_EN[[Español]:[English]],2,0)))),0)</f>
        <v>0</v>
      </c>
      <c r="B11" s="27">
        <f>IFERROR(IF('PAAR UPDATE'!$B$10="English",'Add Info-Info Supp-Info Ad'!$B11,IF('PAAR UPDATE'!$B$10="Français",VLOOKUP('Add Info-Info Supp-Info Ad'!$B11,For_EN[],3,0),IF('PAAR UPDATE'!$B$10="Español",VLOOKUP('Add Info-Info Supp-Info Ad'!$B11,For_EN[[Español]:[English]],2,0)))),0)</f>
        <v>0</v>
      </c>
      <c r="C11" s="27">
        <f>IFERROR(IF('PAAR UPDATE'!$B$10="English",'Add Info-Info Supp-Info Ad'!$C11,IF('PAAR UPDATE'!$B$10="Français",VLOOKUP('Add Info-Info Supp-Info Ad'!$C11,For_EN[],3,0),IF('PAAR UPDATE'!$B$10="Español",VLOOKUP('Add Info-Info Supp-Info Ad'!$C11,For_EN[[Español]:[English]],2,0)))),0)</f>
        <v>0</v>
      </c>
      <c r="D11" s="203">
        <f>'Add Info-Info Supp-Info Ad'!D11</f>
        <v>0</v>
      </c>
      <c r="E11" s="203"/>
      <c r="F11" s="203"/>
      <c r="G11" s="203"/>
      <c r="H11" s="203"/>
      <c r="I11" s="203"/>
      <c r="J11" s="203"/>
      <c r="K11" s="203"/>
      <c r="L11" s="203"/>
      <c r="M11" s="203"/>
      <c r="N11" s="203"/>
      <c r="O11" s="203"/>
      <c r="P11" s="203"/>
      <c r="Q11" s="203"/>
      <c r="R11" s="203"/>
      <c r="S11" s="203"/>
      <c r="T11" s="203"/>
      <c r="U11" s="203"/>
      <c r="V11" s="203"/>
    </row>
    <row r="12" spans="1:22" x14ac:dyDescent="0.35">
      <c r="A12" s="27">
        <f>IFERROR(IF('PAAR UPDATE'!$B$10="English",'Add Info-Info Supp-Info Ad'!$A12,IF('PAAR UPDATE'!$B$10="Français",VLOOKUP('Add Info-Info Supp-Info Ad'!$A12,For_EN[],3,0),IF('PAAR UPDATE'!$B$10="Español",VLOOKUP('Add Info-Info Supp-Info Ad'!$A12,For_EN[[Español]:[English]],2,0)))),0)</f>
        <v>0</v>
      </c>
      <c r="B12" s="27">
        <f>IFERROR(IF('PAAR UPDATE'!$B$10="English",'Add Info-Info Supp-Info Ad'!$B12,IF('PAAR UPDATE'!$B$10="Français",VLOOKUP('Add Info-Info Supp-Info Ad'!$B12,For_EN[],3,0),IF('PAAR UPDATE'!$B$10="Español",VLOOKUP('Add Info-Info Supp-Info Ad'!$B12,For_EN[[Español]:[English]],2,0)))),0)</f>
        <v>0</v>
      </c>
      <c r="C12" s="27">
        <f>IFERROR(IF('PAAR UPDATE'!$B$10="English",'Add Info-Info Supp-Info Ad'!$C12,IF('PAAR UPDATE'!$B$10="Français",VLOOKUP('Add Info-Info Supp-Info Ad'!$C12,For_EN[],3,0),IF('PAAR UPDATE'!$B$10="Español",VLOOKUP('Add Info-Info Supp-Info Ad'!$C12,For_EN[[Español]:[English]],2,0)))),0)</f>
        <v>0</v>
      </c>
      <c r="D12" s="203">
        <f>'Add Info-Info Supp-Info Ad'!D12</f>
        <v>0</v>
      </c>
      <c r="E12" s="203"/>
      <c r="F12" s="203"/>
      <c r="G12" s="203"/>
      <c r="H12" s="203"/>
      <c r="I12" s="203"/>
      <c r="J12" s="203"/>
      <c r="K12" s="203"/>
      <c r="L12" s="203"/>
      <c r="M12" s="203"/>
      <c r="N12" s="203"/>
      <c r="O12" s="203"/>
      <c r="P12" s="203"/>
      <c r="Q12" s="203"/>
      <c r="R12" s="203"/>
      <c r="S12" s="203"/>
      <c r="T12" s="203"/>
      <c r="U12" s="203"/>
      <c r="V12" s="203"/>
    </row>
    <row r="13" spans="1:22" x14ac:dyDescent="0.35">
      <c r="A13" s="27">
        <f>IFERROR(IF('PAAR UPDATE'!$B$10="English",'Add Info-Info Supp-Info Ad'!$A13,IF('PAAR UPDATE'!$B$10="Français",VLOOKUP('Add Info-Info Supp-Info Ad'!$A13,For_EN[],3,0),IF('PAAR UPDATE'!$B$10="Español",VLOOKUP('Add Info-Info Supp-Info Ad'!$A13,For_EN[[Español]:[English]],2,0)))),0)</f>
        <v>0</v>
      </c>
      <c r="B13" s="27">
        <f>IFERROR(IF('PAAR UPDATE'!$B$10="English",'Add Info-Info Supp-Info Ad'!$B13,IF('PAAR UPDATE'!$B$10="Français",VLOOKUP('Add Info-Info Supp-Info Ad'!$B13,For_EN[],3,0),IF('PAAR UPDATE'!$B$10="Español",VLOOKUP('Add Info-Info Supp-Info Ad'!$B13,For_EN[[Español]:[English]],2,0)))),0)</f>
        <v>0</v>
      </c>
      <c r="C13" s="27">
        <f>IFERROR(IF('PAAR UPDATE'!$B$10="English",'Add Info-Info Supp-Info Ad'!$C13,IF('PAAR UPDATE'!$B$10="Français",VLOOKUP('Add Info-Info Supp-Info Ad'!$C13,For_EN[],3,0),IF('PAAR UPDATE'!$B$10="Español",VLOOKUP('Add Info-Info Supp-Info Ad'!$C13,For_EN[[Español]:[English]],2,0)))),0)</f>
        <v>0</v>
      </c>
      <c r="D13" s="203">
        <f>'Add Info-Info Supp-Info Ad'!D13</f>
        <v>0</v>
      </c>
      <c r="E13" s="203"/>
      <c r="F13" s="203"/>
      <c r="G13" s="203"/>
      <c r="H13" s="203"/>
      <c r="I13" s="203"/>
      <c r="J13" s="203"/>
      <c r="K13" s="203"/>
      <c r="L13" s="203"/>
      <c r="M13" s="203"/>
      <c r="N13" s="203"/>
      <c r="O13" s="203"/>
      <c r="P13" s="203"/>
      <c r="Q13" s="203"/>
      <c r="R13" s="203"/>
      <c r="S13" s="203"/>
      <c r="T13" s="203"/>
      <c r="U13" s="203"/>
      <c r="V13" s="203"/>
    </row>
    <row r="14" spans="1:22" x14ac:dyDescent="0.35">
      <c r="A14" s="27">
        <f>IFERROR(IF('PAAR UPDATE'!$B$10="English",'Add Info-Info Supp-Info Ad'!$A14,IF('PAAR UPDATE'!$B$10="Français",VLOOKUP('Add Info-Info Supp-Info Ad'!$A14,For_EN[],3,0),IF('PAAR UPDATE'!$B$10="Español",VLOOKUP('Add Info-Info Supp-Info Ad'!$A14,For_EN[[Español]:[English]],2,0)))),0)</f>
        <v>0</v>
      </c>
      <c r="B14" s="27">
        <f>IFERROR(IF('PAAR UPDATE'!$B$10="English",'Add Info-Info Supp-Info Ad'!$B14,IF('PAAR UPDATE'!$B$10="Français",VLOOKUP('Add Info-Info Supp-Info Ad'!$B14,For_EN[],3,0),IF('PAAR UPDATE'!$B$10="Español",VLOOKUP('Add Info-Info Supp-Info Ad'!$B14,For_EN[[Español]:[English]],2,0)))),0)</f>
        <v>0</v>
      </c>
      <c r="C14" s="27">
        <f>IFERROR(IF('PAAR UPDATE'!$B$10="English",'Add Info-Info Supp-Info Ad'!$C14,IF('PAAR UPDATE'!$B$10="Français",VLOOKUP('Add Info-Info Supp-Info Ad'!$C14,For_EN[],3,0),IF('PAAR UPDATE'!$B$10="Español",VLOOKUP('Add Info-Info Supp-Info Ad'!$C14,For_EN[[Español]:[English]],2,0)))),0)</f>
        <v>0</v>
      </c>
      <c r="D14" s="203">
        <f>'Add Info-Info Supp-Info Ad'!D14</f>
        <v>0</v>
      </c>
      <c r="E14" s="203"/>
      <c r="F14" s="203"/>
      <c r="G14" s="203"/>
      <c r="H14" s="203"/>
      <c r="I14" s="203"/>
      <c r="J14" s="203"/>
      <c r="K14" s="203"/>
      <c r="L14" s="203"/>
      <c r="M14" s="203"/>
      <c r="N14" s="203"/>
      <c r="O14" s="203"/>
      <c r="P14" s="203"/>
      <c r="Q14" s="203"/>
      <c r="R14" s="203"/>
      <c r="S14" s="203"/>
      <c r="T14" s="203"/>
      <c r="U14" s="203"/>
      <c r="V14" s="203"/>
    </row>
    <row r="15" spans="1:22" x14ac:dyDescent="0.35">
      <c r="A15" s="27">
        <f>IFERROR(IF('PAAR UPDATE'!$B$10="English",'Add Info-Info Supp-Info Ad'!$A15,IF('PAAR UPDATE'!$B$10="Français",VLOOKUP('Add Info-Info Supp-Info Ad'!$A15,For_EN[],3,0),IF('PAAR UPDATE'!$B$10="Español",VLOOKUP('Add Info-Info Supp-Info Ad'!$A15,For_EN[[Español]:[English]],2,0)))),0)</f>
        <v>0</v>
      </c>
      <c r="B15" s="27">
        <f>IFERROR(IF('PAAR UPDATE'!$B$10="English",'Add Info-Info Supp-Info Ad'!$B15,IF('PAAR UPDATE'!$B$10="Français",VLOOKUP('Add Info-Info Supp-Info Ad'!$B15,For_EN[],3,0),IF('PAAR UPDATE'!$B$10="Español",VLOOKUP('Add Info-Info Supp-Info Ad'!$B15,For_EN[[Español]:[English]],2,0)))),0)</f>
        <v>0</v>
      </c>
      <c r="C15" s="27">
        <f>IFERROR(IF('PAAR UPDATE'!$B$10="English",'Add Info-Info Supp-Info Ad'!$C15,IF('PAAR UPDATE'!$B$10="Français",VLOOKUP('Add Info-Info Supp-Info Ad'!$C15,For_EN[],3,0),IF('PAAR UPDATE'!$B$10="Español",VLOOKUP('Add Info-Info Supp-Info Ad'!$C15,For_EN[[Español]:[English]],2,0)))),0)</f>
        <v>0</v>
      </c>
      <c r="D15" s="203">
        <f>'Add Info-Info Supp-Info Ad'!D15</f>
        <v>0</v>
      </c>
      <c r="E15" s="203"/>
      <c r="F15" s="203"/>
      <c r="G15" s="203"/>
      <c r="H15" s="203"/>
      <c r="I15" s="203"/>
      <c r="J15" s="203"/>
      <c r="K15" s="203"/>
      <c r="L15" s="203"/>
      <c r="M15" s="203"/>
      <c r="N15" s="203"/>
      <c r="O15" s="203"/>
      <c r="P15" s="203"/>
      <c r="Q15" s="203"/>
      <c r="R15" s="203"/>
      <c r="S15" s="203"/>
      <c r="T15" s="203"/>
      <c r="U15" s="203"/>
      <c r="V15" s="203"/>
    </row>
    <row r="16" spans="1:22" x14ac:dyDescent="0.35">
      <c r="A16" s="27">
        <f>IFERROR(IF('PAAR UPDATE'!$B$10="English",'Add Info-Info Supp-Info Ad'!$A16,IF('PAAR UPDATE'!$B$10="Français",VLOOKUP('Add Info-Info Supp-Info Ad'!$A16,For_EN[],3,0),IF('PAAR UPDATE'!$B$10="Español",VLOOKUP('Add Info-Info Supp-Info Ad'!$A16,For_EN[[Español]:[English]],2,0)))),0)</f>
        <v>0</v>
      </c>
      <c r="B16" s="27">
        <f>IFERROR(IF('PAAR UPDATE'!$B$10="English",'Add Info-Info Supp-Info Ad'!$B16,IF('PAAR UPDATE'!$B$10="Français",VLOOKUP('Add Info-Info Supp-Info Ad'!$B16,For_EN[],3,0),IF('PAAR UPDATE'!$B$10="Español",VLOOKUP('Add Info-Info Supp-Info Ad'!$B16,For_EN[[Español]:[English]],2,0)))),0)</f>
        <v>0</v>
      </c>
      <c r="C16" s="27">
        <f>IFERROR(IF('PAAR UPDATE'!$B$10="English",'Add Info-Info Supp-Info Ad'!$C16,IF('PAAR UPDATE'!$B$10="Français",VLOOKUP('Add Info-Info Supp-Info Ad'!$C16,For_EN[],3,0),IF('PAAR UPDATE'!$B$10="Español",VLOOKUP('Add Info-Info Supp-Info Ad'!$C16,For_EN[[Español]:[English]],2,0)))),0)</f>
        <v>0</v>
      </c>
      <c r="D16" s="203">
        <f>'Add Info-Info Supp-Info Ad'!D16</f>
        <v>0</v>
      </c>
      <c r="E16" s="203"/>
      <c r="F16" s="203"/>
      <c r="G16" s="203"/>
      <c r="H16" s="203"/>
      <c r="I16" s="203"/>
      <c r="J16" s="203"/>
      <c r="K16" s="203"/>
      <c r="L16" s="203"/>
      <c r="M16" s="203"/>
      <c r="N16" s="203"/>
      <c r="O16" s="203"/>
      <c r="P16" s="203"/>
      <c r="Q16" s="203"/>
      <c r="R16" s="203"/>
      <c r="S16" s="203"/>
      <c r="T16" s="203"/>
      <c r="U16" s="203"/>
      <c r="V16" s="203"/>
    </row>
    <row r="17" spans="1:22" x14ac:dyDescent="0.35">
      <c r="A17" s="27">
        <f>IFERROR(IF('PAAR UPDATE'!$B$10="English",'Add Info-Info Supp-Info Ad'!$A17,IF('PAAR UPDATE'!$B$10="Français",VLOOKUP('Add Info-Info Supp-Info Ad'!$A17,For_EN[],3,0),IF('PAAR UPDATE'!$B$10="Español",VLOOKUP('Add Info-Info Supp-Info Ad'!$A17,For_EN[[Español]:[English]],2,0)))),0)</f>
        <v>0</v>
      </c>
      <c r="B17" s="27">
        <f>IFERROR(IF('PAAR UPDATE'!$B$10="English",'Add Info-Info Supp-Info Ad'!$B17,IF('PAAR UPDATE'!$B$10="Français",VLOOKUP('Add Info-Info Supp-Info Ad'!$B17,For_EN[],3,0),IF('PAAR UPDATE'!$B$10="Español",VLOOKUP('Add Info-Info Supp-Info Ad'!$B17,For_EN[[Español]:[English]],2,0)))),0)</f>
        <v>0</v>
      </c>
      <c r="C17" s="27">
        <f>IFERROR(IF('PAAR UPDATE'!$B$10="English",'Add Info-Info Supp-Info Ad'!$C17,IF('PAAR UPDATE'!$B$10="Français",VLOOKUP('Add Info-Info Supp-Info Ad'!$C17,For_EN[],3,0),IF('PAAR UPDATE'!$B$10="Español",VLOOKUP('Add Info-Info Supp-Info Ad'!$C17,For_EN[[Español]:[English]],2,0)))),0)</f>
        <v>0</v>
      </c>
      <c r="D17" s="203">
        <f>'Add Info-Info Supp-Info Ad'!D17</f>
        <v>0</v>
      </c>
      <c r="E17" s="203"/>
      <c r="F17" s="203"/>
      <c r="G17" s="203"/>
      <c r="H17" s="203"/>
      <c r="I17" s="203"/>
      <c r="J17" s="203"/>
      <c r="K17" s="203"/>
      <c r="L17" s="203"/>
      <c r="M17" s="203"/>
      <c r="N17" s="203"/>
      <c r="O17" s="203"/>
      <c r="P17" s="203"/>
      <c r="Q17" s="203"/>
      <c r="R17" s="203"/>
      <c r="S17" s="203"/>
      <c r="T17" s="203"/>
      <c r="U17" s="203"/>
      <c r="V17" s="203"/>
    </row>
    <row r="18" spans="1:22" x14ac:dyDescent="0.35">
      <c r="A18" s="27">
        <f>IFERROR(IF('PAAR UPDATE'!$B$10="English",'Add Info-Info Supp-Info Ad'!$A18,IF('PAAR UPDATE'!$B$10="Français",VLOOKUP('Add Info-Info Supp-Info Ad'!$A18,For_EN[],3,0),IF('PAAR UPDATE'!$B$10="Español",VLOOKUP('Add Info-Info Supp-Info Ad'!$A18,For_EN[[Español]:[English]],2,0)))),0)</f>
        <v>0</v>
      </c>
      <c r="B18" s="27">
        <f>IFERROR(IF('PAAR UPDATE'!$B$10="English",'Add Info-Info Supp-Info Ad'!$B18,IF('PAAR UPDATE'!$B$10="Français",VLOOKUP('Add Info-Info Supp-Info Ad'!$B18,For_EN[],3,0),IF('PAAR UPDATE'!$B$10="Español",VLOOKUP('Add Info-Info Supp-Info Ad'!$B18,For_EN[[Español]:[English]],2,0)))),0)</f>
        <v>0</v>
      </c>
      <c r="C18" s="27">
        <f>IFERROR(IF('PAAR UPDATE'!$B$10="English",'Add Info-Info Supp-Info Ad'!$C18,IF('PAAR UPDATE'!$B$10="Français",VLOOKUP('Add Info-Info Supp-Info Ad'!$C18,For_EN[],3,0),IF('PAAR UPDATE'!$B$10="Español",VLOOKUP('Add Info-Info Supp-Info Ad'!$C18,For_EN[[Español]:[English]],2,0)))),0)</f>
        <v>0</v>
      </c>
      <c r="D18" s="203">
        <f>'Add Info-Info Supp-Info Ad'!D18</f>
        <v>0</v>
      </c>
      <c r="E18" s="203"/>
      <c r="F18" s="203"/>
      <c r="G18" s="203"/>
      <c r="H18" s="203"/>
      <c r="I18" s="203"/>
      <c r="J18" s="203"/>
      <c r="K18" s="203"/>
      <c r="L18" s="203"/>
      <c r="M18" s="203"/>
      <c r="N18" s="203"/>
      <c r="O18" s="203"/>
      <c r="P18" s="203"/>
      <c r="Q18" s="203"/>
      <c r="R18" s="203"/>
      <c r="S18" s="203"/>
      <c r="T18" s="203"/>
      <c r="U18" s="203"/>
      <c r="V18" s="203"/>
    </row>
    <row r="19" spans="1:22" x14ac:dyDescent="0.35">
      <c r="A19" s="27">
        <f>IFERROR(IF('PAAR UPDATE'!$B$10="English",'Add Info-Info Supp-Info Ad'!$A19,IF('PAAR UPDATE'!$B$10="Français",VLOOKUP('Add Info-Info Supp-Info Ad'!$A19,For_EN[],3,0),IF('PAAR UPDATE'!$B$10="Español",VLOOKUP('Add Info-Info Supp-Info Ad'!$A19,For_EN[[Español]:[English]],2,0)))),0)</f>
        <v>0</v>
      </c>
      <c r="B19" s="27">
        <f>IFERROR(IF('PAAR UPDATE'!$B$10="English",'Add Info-Info Supp-Info Ad'!$B19,IF('PAAR UPDATE'!$B$10="Français",VLOOKUP('Add Info-Info Supp-Info Ad'!$B19,For_EN[],3,0),IF('PAAR UPDATE'!$B$10="Español",VLOOKUP('Add Info-Info Supp-Info Ad'!$B19,For_EN[[Español]:[English]],2,0)))),0)</f>
        <v>0</v>
      </c>
      <c r="C19" s="27">
        <f>IFERROR(IF('PAAR UPDATE'!$B$10="English",'Add Info-Info Supp-Info Ad'!$C19,IF('PAAR UPDATE'!$B$10="Français",VLOOKUP('Add Info-Info Supp-Info Ad'!$C19,For_EN[],3,0),IF('PAAR UPDATE'!$B$10="Español",VLOOKUP('Add Info-Info Supp-Info Ad'!$C19,For_EN[[Español]:[English]],2,0)))),0)</f>
        <v>0</v>
      </c>
      <c r="D19" s="203">
        <f>'Add Info-Info Supp-Info Ad'!D19</f>
        <v>0</v>
      </c>
      <c r="E19" s="203"/>
      <c r="F19" s="203"/>
      <c r="G19" s="203"/>
      <c r="H19" s="203"/>
      <c r="I19" s="203"/>
      <c r="J19" s="203"/>
      <c r="K19" s="203"/>
      <c r="L19" s="203"/>
      <c r="M19" s="203"/>
      <c r="N19" s="203"/>
      <c r="O19" s="203"/>
      <c r="P19" s="203"/>
      <c r="Q19" s="203"/>
      <c r="R19" s="203"/>
      <c r="S19" s="203"/>
      <c r="T19" s="203"/>
      <c r="U19" s="203"/>
      <c r="V19" s="203"/>
    </row>
    <row r="20" spans="1:22" x14ac:dyDescent="0.35">
      <c r="A20" s="27">
        <f>IFERROR(IF('PAAR UPDATE'!$B$10="English",'Add Info-Info Supp-Info Ad'!$A20,IF('PAAR UPDATE'!$B$10="Français",VLOOKUP('Add Info-Info Supp-Info Ad'!$A20,For_EN[],3,0),IF('PAAR UPDATE'!$B$10="Español",VLOOKUP('Add Info-Info Supp-Info Ad'!$A20,For_EN[[Español]:[English]],2,0)))),0)</f>
        <v>0</v>
      </c>
      <c r="B20" s="27">
        <f>IFERROR(IF('PAAR UPDATE'!$B$10="English",'Add Info-Info Supp-Info Ad'!$B20,IF('PAAR UPDATE'!$B$10="Français",VLOOKUP('Add Info-Info Supp-Info Ad'!$B20,For_EN[],3,0),IF('PAAR UPDATE'!$B$10="Español",VLOOKUP('Add Info-Info Supp-Info Ad'!$B20,For_EN[[Español]:[English]],2,0)))),0)</f>
        <v>0</v>
      </c>
      <c r="C20" s="27">
        <f>IFERROR(IF('PAAR UPDATE'!$B$10="English",'Add Info-Info Supp-Info Ad'!$C20,IF('PAAR UPDATE'!$B$10="Français",VLOOKUP('Add Info-Info Supp-Info Ad'!$C20,For_EN[],3,0),IF('PAAR UPDATE'!$B$10="Español",VLOOKUP('Add Info-Info Supp-Info Ad'!$C20,For_EN[[Español]:[English]],2,0)))),0)</f>
        <v>0</v>
      </c>
      <c r="D20" s="203">
        <f>'Add Info-Info Supp-Info Ad'!D20</f>
        <v>0</v>
      </c>
      <c r="E20" s="203"/>
      <c r="F20" s="203"/>
      <c r="G20" s="203"/>
      <c r="H20" s="203"/>
      <c r="I20" s="203"/>
      <c r="J20" s="203"/>
      <c r="K20" s="203"/>
      <c r="L20" s="203"/>
      <c r="M20" s="203"/>
      <c r="N20" s="203"/>
      <c r="O20" s="203"/>
      <c r="P20" s="203"/>
      <c r="Q20" s="203"/>
      <c r="R20" s="203"/>
      <c r="S20" s="203"/>
      <c r="T20" s="203"/>
      <c r="U20" s="203"/>
      <c r="V20" s="203"/>
    </row>
    <row r="21" spans="1:22" x14ac:dyDescent="0.35">
      <c r="A21" s="27">
        <f>IFERROR(IF('PAAR UPDATE'!$B$10="English",'Add Info-Info Supp-Info Ad'!$A21,IF('PAAR UPDATE'!$B$10="Français",VLOOKUP('Add Info-Info Supp-Info Ad'!$A21,For_EN[],3,0),IF('PAAR UPDATE'!$B$10="Español",VLOOKUP('Add Info-Info Supp-Info Ad'!$A21,For_EN[[Español]:[English]],2,0)))),0)</f>
        <v>0</v>
      </c>
      <c r="B21" s="27">
        <f>IFERROR(IF('PAAR UPDATE'!$B$10="English",'Add Info-Info Supp-Info Ad'!$B21,IF('PAAR UPDATE'!$B$10="Français",VLOOKUP('Add Info-Info Supp-Info Ad'!$B21,For_EN[],3,0),IF('PAAR UPDATE'!$B$10="Español",VLOOKUP('Add Info-Info Supp-Info Ad'!$B21,For_EN[[Español]:[English]],2,0)))),0)</f>
        <v>0</v>
      </c>
      <c r="C21" s="27">
        <f>IFERROR(IF('PAAR UPDATE'!$B$10="English",'Add Info-Info Supp-Info Ad'!$C21,IF('PAAR UPDATE'!$B$10="Français",VLOOKUP('Add Info-Info Supp-Info Ad'!$C21,For_EN[],3,0),IF('PAAR UPDATE'!$B$10="Español",VLOOKUP('Add Info-Info Supp-Info Ad'!$C21,For_EN[[Español]:[English]],2,0)))),0)</f>
        <v>0</v>
      </c>
      <c r="D21" s="203">
        <f>'Add Info-Info Supp-Info Ad'!D21</f>
        <v>0</v>
      </c>
      <c r="E21" s="203"/>
      <c r="F21" s="203"/>
      <c r="G21" s="203"/>
      <c r="H21" s="203"/>
      <c r="I21" s="203"/>
      <c r="J21" s="203"/>
      <c r="K21" s="203"/>
      <c r="L21" s="203"/>
      <c r="M21" s="203"/>
      <c r="N21" s="203"/>
      <c r="O21" s="203"/>
      <c r="P21" s="203"/>
      <c r="Q21" s="203"/>
      <c r="R21" s="203"/>
      <c r="S21" s="203"/>
      <c r="T21" s="203"/>
      <c r="U21" s="203"/>
      <c r="V21" s="203"/>
    </row>
    <row r="22" spans="1:22" x14ac:dyDescent="0.35">
      <c r="A22" s="27">
        <f>IFERROR(IF('PAAR UPDATE'!$B$10="English",'Add Info-Info Supp-Info Ad'!$A22,IF('PAAR UPDATE'!$B$10="Français",VLOOKUP('Add Info-Info Supp-Info Ad'!$A22,For_EN[],3,0),IF('PAAR UPDATE'!$B$10="Español",VLOOKUP('Add Info-Info Supp-Info Ad'!$A22,For_EN[[Español]:[English]],2,0)))),0)</f>
        <v>0</v>
      </c>
      <c r="B22" s="27">
        <f>IFERROR(IF('PAAR UPDATE'!$B$10="English",'Add Info-Info Supp-Info Ad'!$B22,IF('PAAR UPDATE'!$B$10="Français",VLOOKUP('Add Info-Info Supp-Info Ad'!$B22,For_EN[],3,0),IF('PAAR UPDATE'!$B$10="Español",VLOOKUP('Add Info-Info Supp-Info Ad'!$B22,For_EN[[Español]:[English]],2,0)))),0)</f>
        <v>0</v>
      </c>
      <c r="C22" s="27">
        <f>IFERROR(IF('PAAR UPDATE'!$B$10="English",'Add Info-Info Supp-Info Ad'!$C22,IF('PAAR UPDATE'!$B$10="Français",VLOOKUP('Add Info-Info Supp-Info Ad'!$C22,For_EN[],3,0),IF('PAAR UPDATE'!$B$10="Español",VLOOKUP('Add Info-Info Supp-Info Ad'!$C22,For_EN[[Español]:[English]],2,0)))),0)</f>
        <v>0</v>
      </c>
      <c r="D22" s="203">
        <f>'Add Info-Info Supp-Info Ad'!D22</f>
        <v>0</v>
      </c>
      <c r="E22" s="203"/>
      <c r="F22" s="203"/>
      <c r="G22" s="203"/>
      <c r="H22" s="203"/>
      <c r="I22" s="203"/>
      <c r="J22" s="203"/>
      <c r="K22" s="203"/>
      <c r="L22" s="203"/>
      <c r="M22" s="203"/>
      <c r="N22" s="203"/>
      <c r="O22" s="203"/>
      <c r="P22" s="203"/>
      <c r="Q22" s="203"/>
      <c r="R22" s="203"/>
      <c r="S22" s="203"/>
      <c r="T22" s="203"/>
      <c r="U22" s="203"/>
      <c r="V22" s="203"/>
    </row>
    <row r="23" spans="1:22" x14ac:dyDescent="0.35">
      <c r="A23" s="27">
        <f>IFERROR(IF('PAAR UPDATE'!$B$10="English",'Add Info-Info Supp-Info Ad'!$A23,IF('PAAR UPDATE'!$B$10="Français",VLOOKUP('Add Info-Info Supp-Info Ad'!$A23,For_EN[],3,0),IF('PAAR UPDATE'!$B$10="Español",VLOOKUP('Add Info-Info Supp-Info Ad'!$A23,For_EN[[Español]:[English]],2,0)))),0)</f>
        <v>0</v>
      </c>
      <c r="B23" s="27">
        <f>IFERROR(IF('PAAR UPDATE'!$B$10="English",'Add Info-Info Supp-Info Ad'!$B23,IF('PAAR UPDATE'!$B$10="Français",VLOOKUP('Add Info-Info Supp-Info Ad'!$B23,For_EN[],3,0),IF('PAAR UPDATE'!$B$10="Español",VLOOKUP('Add Info-Info Supp-Info Ad'!$B23,For_EN[[Español]:[English]],2,0)))),0)</f>
        <v>0</v>
      </c>
      <c r="C23" s="27">
        <f>IFERROR(IF('PAAR UPDATE'!$B$10="English",'Add Info-Info Supp-Info Ad'!$C23,IF('PAAR UPDATE'!$B$10="Français",VLOOKUP('Add Info-Info Supp-Info Ad'!$C23,For_EN[],3,0),IF('PAAR UPDATE'!$B$10="Español",VLOOKUP('Add Info-Info Supp-Info Ad'!$C23,For_EN[[Español]:[English]],2,0)))),0)</f>
        <v>0</v>
      </c>
      <c r="D23" s="203">
        <f>'Add Info-Info Supp-Info Ad'!D23</f>
        <v>0</v>
      </c>
      <c r="E23" s="203"/>
      <c r="F23" s="203"/>
      <c r="G23" s="203"/>
      <c r="H23" s="203"/>
      <c r="I23" s="203"/>
      <c r="J23" s="203"/>
      <c r="K23" s="203"/>
      <c r="L23" s="203"/>
      <c r="M23" s="203"/>
      <c r="N23" s="203"/>
      <c r="O23" s="203"/>
      <c r="P23" s="203"/>
      <c r="Q23" s="203"/>
      <c r="R23" s="203"/>
      <c r="S23" s="203"/>
      <c r="T23" s="203"/>
      <c r="U23" s="203"/>
      <c r="V23" s="203"/>
    </row>
    <row r="24" spans="1:22" x14ac:dyDescent="0.35">
      <c r="A24" s="27">
        <f>IFERROR(IF('PAAR UPDATE'!$B$10="English",'Add Info-Info Supp-Info Ad'!$A24,IF('PAAR UPDATE'!$B$10="Français",VLOOKUP('Add Info-Info Supp-Info Ad'!$A24,For_EN[],3,0),IF('PAAR UPDATE'!$B$10="Español",VLOOKUP('Add Info-Info Supp-Info Ad'!$A24,For_EN[[Español]:[English]],2,0)))),0)</f>
        <v>0</v>
      </c>
      <c r="B24" s="27">
        <f>IFERROR(IF('PAAR UPDATE'!$B$10="English",'Add Info-Info Supp-Info Ad'!$B24,IF('PAAR UPDATE'!$B$10="Français",VLOOKUP('Add Info-Info Supp-Info Ad'!$B24,For_EN[],3,0),IF('PAAR UPDATE'!$B$10="Español",VLOOKUP('Add Info-Info Supp-Info Ad'!$B24,For_EN[[Español]:[English]],2,0)))),0)</f>
        <v>0</v>
      </c>
      <c r="C24" s="27">
        <f>IFERROR(IF('PAAR UPDATE'!$B$10="English",'Add Info-Info Supp-Info Ad'!$C24,IF('PAAR UPDATE'!$B$10="Français",VLOOKUP('Add Info-Info Supp-Info Ad'!$C24,For_EN[],3,0),IF('PAAR UPDATE'!$B$10="Español",VLOOKUP('Add Info-Info Supp-Info Ad'!$C24,For_EN[[Español]:[English]],2,0)))),0)</f>
        <v>0</v>
      </c>
      <c r="D24" s="203">
        <f>'Add Info-Info Supp-Info Ad'!D24</f>
        <v>0</v>
      </c>
      <c r="E24" s="203"/>
      <c r="F24" s="203"/>
      <c r="G24" s="203"/>
      <c r="H24" s="203"/>
      <c r="I24" s="203"/>
      <c r="J24" s="203"/>
      <c r="K24" s="203"/>
      <c r="L24" s="203"/>
      <c r="M24" s="203"/>
      <c r="N24" s="203"/>
      <c r="O24" s="203"/>
      <c r="P24" s="203"/>
      <c r="Q24" s="203"/>
      <c r="R24" s="203"/>
      <c r="S24" s="203"/>
      <c r="T24" s="203"/>
      <c r="U24" s="203"/>
      <c r="V24" s="203"/>
    </row>
    <row r="25" spans="1:22" x14ac:dyDescent="0.35">
      <c r="A25" s="27">
        <f>IFERROR(IF('PAAR UPDATE'!$B$10="English",'Add Info-Info Supp-Info Ad'!$A25,IF('PAAR UPDATE'!$B$10="Français",VLOOKUP('Add Info-Info Supp-Info Ad'!$A25,For_EN[],3,0),IF('PAAR UPDATE'!$B$10="Español",VLOOKUP('Add Info-Info Supp-Info Ad'!$A25,For_EN[[Español]:[English]],2,0)))),0)</f>
        <v>0</v>
      </c>
      <c r="B25" s="27">
        <f>IFERROR(IF('PAAR UPDATE'!$B$10="English",'Add Info-Info Supp-Info Ad'!$B25,IF('PAAR UPDATE'!$B$10="Français",VLOOKUP('Add Info-Info Supp-Info Ad'!$B25,For_EN[],3,0),IF('PAAR UPDATE'!$B$10="Español",VLOOKUP('Add Info-Info Supp-Info Ad'!$B25,For_EN[[Español]:[English]],2,0)))),0)</f>
        <v>0</v>
      </c>
      <c r="C25" s="27">
        <f>IFERROR(IF('PAAR UPDATE'!$B$10="English",'Add Info-Info Supp-Info Ad'!$C25,IF('PAAR UPDATE'!$B$10="Français",VLOOKUP('Add Info-Info Supp-Info Ad'!$C25,For_EN[],3,0),IF('PAAR UPDATE'!$B$10="Español",VLOOKUP('Add Info-Info Supp-Info Ad'!$C25,For_EN[[Español]:[English]],2,0)))),0)</f>
        <v>0</v>
      </c>
      <c r="D25" s="203">
        <f>'Add Info-Info Supp-Info Ad'!D25</f>
        <v>0</v>
      </c>
      <c r="E25" s="203"/>
      <c r="F25" s="203"/>
      <c r="G25" s="203"/>
      <c r="H25" s="203"/>
      <c r="I25" s="203"/>
      <c r="J25" s="203"/>
      <c r="K25" s="203"/>
      <c r="L25" s="203"/>
      <c r="M25" s="203"/>
      <c r="N25" s="203"/>
      <c r="O25" s="203"/>
      <c r="P25" s="203"/>
      <c r="Q25" s="203"/>
      <c r="R25" s="203"/>
      <c r="S25" s="203"/>
      <c r="T25" s="203"/>
      <c r="U25" s="203"/>
      <c r="V25" s="203"/>
    </row>
    <row r="26" spans="1:22" x14ac:dyDescent="0.35">
      <c r="A26" s="27">
        <f>IFERROR(IF('PAAR UPDATE'!$B$10="English",'Add Info-Info Supp-Info Ad'!$A26,IF('PAAR UPDATE'!$B$10="Français",VLOOKUP('Add Info-Info Supp-Info Ad'!$A26,For_EN[],3,0),IF('PAAR UPDATE'!$B$10="Español",VLOOKUP('Add Info-Info Supp-Info Ad'!$A26,For_EN[[Español]:[English]],2,0)))),0)</f>
        <v>0</v>
      </c>
      <c r="B26" s="27">
        <f>IFERROR(IF('PAAR UPDATE'!$B$10="English",'Add Info-Info Supp-Info Ad'!$B26,IF('PAAR UPDATE'!$B$10="Français",VLOOKUP('Add Info-Info Supp-Info Ad'!$B26,For_EN[],3,0),IF('PAAR UPDATE'!$B$10="Español",VLOOKUP('Add Info-Info Supp-Info Ad'!$B26,For_EN[[Español]:[English]],2,0)))),0)</f>
        <v>0</v>
      </c>
      <c r="C26" s="27">
        <f>IFERROR(IF('PAAR UPDATE'!$B$10="English",'Add Info-Info Supp-Info Ad'!$C26,IF('PAAR UPDATE'!$B$10="Français",VLOOKUP('Add Info-Info Supp-Info Ad'!$C26,For_EN[],3,0),IF('PAAR UPDATE'!$B$10="Español",VLOOKUP('Add Info-Info Supp-Info Ad'!$C26,For_EN[[Español]:[English]],2,0)))),0)</f>
        <v>0</v>
      </c>
      <c r="D26" s="203">
        <f>'Add Info-Info Supp-Info Ad'!D26</f>
        <v>0</v>
      </c>
      <c r="E26" s="203"/>
      <c r="F26" s="203"/>
      <c r="G26" s="203"/>
      <c r="H26" s="203"/>
      <c r="I26" s="203"/>
      <c r="J26" s="203"/>
      <c r="K26" s="203"/>
      <c r="L26" s="203"/>
      <c r="M26" s="203"/>
      <c r="N26" s="203"/>
      <c r="O26" s="203"/>
      <c r="P26" s="203"/>
      <c r="Q26" s="203"/>
      <c r="R26" s="203"/>
      <c r="S26" s="203"/>
      <c r="T26" s="203"/>
      <c r="U26" s="203"/>
      <c r="V26" s="203"/>
    </row>
    <row r="27" spans="1:22" x14ac:dyDescent="0.35">
      <c r="A27" s="27">
        <f>IFERROR(IF('PAAR UPDATE'!$B$10="English",'Add Info-Info Supp-Info Ad'!$A27,IF('PAAR UPDATE'!$B$10="Français",VLOOKUP('Add Info-Info Supp-Info Ad'!$A27,For_EN[],3,0),IF('PAAR UPDATE'!$B$10="Español",VLOOKUP('Add Info-Info Supp-Info Ad'!$A27,For_EN[[Español]:[English]],2,0)))),0)</f>
        <v>0</v>
      </c>
      <c r="B27" s="27">
        <f>IFERROR(IF('PAAR UPDATE'!$B$10="English",'Add Info-Info Supp-Info Ad'!$B27,IF('PAAR UPDATE'!$B$10="Français",VLOOKUP('Add Info-Info Supp-Info Ad'!$B27,For_EN[],3,0),IF('PAAR UPDATE'!$B$10="Español",VLOOKUP('Add Info-Info Supp-Info Ad'!$B27,For_EN[[Español]:[English]],2,0)))),0)</f>
        <v>0</v>
      </c>
      <c r="C27" s="27">
        <f>IFERROR(IF('PAAR UPDATE'!$B$10="English",'Add Info-Info Supp-Info Ad'!$C27,IF('PAAR UPDATE'!$B$10="Français",VLOOKUP('Add Info-Info Supp-Info Ad'!$C27,For_EN[],3,0),IF('PAAR UPDATE'!$B$10="Español",VLOOKUP('Add Info-Info Supp-Info Ad'!$C27,For_EN[[Español]:[English]],2,0)))),0)</f>
        <v>0</v>
      </c>
      <c r="D27" s="203">
        <f>'Add Info-Info Supp-Info Ad'!D27</f>
        <v>0</v>
      </c>
      <c r="E27" s="203"/>
      <c r="F27" s="203"/>
      <c r="G27" s="203"/>
      <c r="H27" s="203"/>
      <c r="I27" s="203"/>
      <c r="J27" s="203"/>
      <c r="K27" s="203"/>
      <c r="L27" s="203"/>
      <c r="M27" s="203"/>
      <c r="N27" s="203"/>
      <c r="O27" s="203"/>
      <c r="P27" s="203"/>
      <c r="Q27" s="203"/>
      <c r="R27" s="203"/>
      <c r="S27" s="203"/>
      <c r="T27" s="203"/>
      <c r="U27" s="203"/>
      <c r="V27" s="203"/>
    </row>
    <row r="28" spans="1:22" x14ac:dyDescent="0.35">
      <c r="A28" s="27">
        <f>IFERROR(IF('PAAR UPDATE'!$B$10="English",'Add Info-Info Supp-Info Ad'!$A28,IF('PAAR UPDATE'!$B$10="Français",VLOOKUP('Add Info-Info Supp-Info Ad'!$A28,For_EN[],3,0),IF('PAAR UPDATE'!$B$10="Español",VLOOKUP('Add Info-Info Supp-Info Ad'!$A28,For_EN[[Español]:[English]],2,0)))),0)</f>
        <v>0</v>
      </c>
      <c r="B28" s="27">
        <f>IFERROR(IF('PAAR UPDATE'!$B$10="English",'Add Info-Info Supp-Info Ad'!$B28,IF('PAAR UPDATE'!$B$10="Français",VLOOKUP('Add Info-Info Supp-Info Ad'!$B28,For_EN[],3,0),IF('PAAR UPDATE'!$B$10="Español",VLOOKUP('Add Info-Info Supp-Info Ad'!$B28,For_EN[[Español]:[English]],2,0)))),0)</f>
        <v>0</v>
      </c>
      <c r="C28" s="27">
        <f>IFERROR(IF('PAAR UPDATE'!$B$10="English",'Add Info-Info Supp-Info Ad'!$C28,IF('PAAR UPDATE'!$B$10="Français",VLOOKUP('Add Info-Info Supp-Info Ad'!$C28,For_EN[],3,0),IF('PAAR UPDATE'!$B$10="Español",VLOOKUP('Add Info-Info Supp-Info Ad'!$C28,For_EN[[Español]:[English]],2,0)))),0)</f>
        <v>0</v>
      </c>
      <c r="D28" s="203">
        <f>'Add Info-Info Supp-Info Ad'!D28</f>
        <v>0</v>
      </c>
      <c r="E28" s="203"/>
      <c r="F28" s="203"/>
      <c r="G28" s="203"/>
      <c r="H28" s="203"/>
      <c r="I28" s="203"/>
      <c r="J28" s="203"/>
      <c r="K28" s="203"/>
      <c r="L28" s="203"/>
      <c r="M28" s="203"/>
      <c r="N28" s="203"/>
      <c r="O28" s="203"/>
      <c r="P28" s="203"/>
      <c r="Q28" s="203"/>
      <c r="R28" s="203"/>
      <c r="S28" s="203"/>
      <c r="T28" s="203"/>
      <c r="U28" s="203"/>
      <c r="V28" s="203"/>
    </row>
    <row r="29" spans="1:22" x14ac:dyDescent="0.35">
      <c r="A29" s="27">
        <f>IFERROR(IF('PAAR UPDATE'!$B$10="English",'Add Info-Info Supp-Info Ad'!$A29,IF('PAAR UPDATE'!$B$10="Français",VLOOKUP('Add Info-Info Supp-Info Ad'!$A29,For_EN[],3,0),IF('PAAR UPDATE'!$B$10="Español",VLOOKUP('Add Info-Info Supp-Info Ad'!$A29,For_EN[[Español]:[English]],2,0)))),0)</f>
        <v>0</v>
      </c>
      <c r="B29" s="27">
        <f>IFERROR(IF('PAAR UPDATE'!$B$10="English",'Add Info-Info Supp-Info Ad'!$B29,IF('PAAR UPDATE'!$B$10="Français",VLOOKUP('Add Info-Info Supp-Info Ad'!$B29,For_EN[],3,0),IF('PAAR UPDATE'!$B$10="Español",VLOOKUP('Add Info-Info Supp-Info Ad'!$B29,For_EN[[Español]:[English]],2,0)))),0)</f>
        <v>0</v>
      </c>
      <c r="C29" s="27">
        <f>IFERROR(IF('PAAR UPDATE'!$B$10="English",'Add Info-Info Supp-Info Ad'!$C29,IF('PAAR UPDATE'!$B$10="Français",VLOOKUP('Add Info-Info Supp-Info Ad'!$C29,For_EN[],3,0),IF('PAAR UPDATE'!$B$10="Español",VLOOKUP('Add Info-Info Supp-Info Ad'!$C29,For_EN[[Español]:[English]],2,0)))),0)</f>
        <v>0</v>
      </c>
      <c r="D29" s="203">
        <f>'Add Info-Info Supp-Info Ad'!D29</f>
        <v>0</v>
      </c>
      <c r="E29" s="203"/>
      <c r="F29" s="203"/>
      <c r="G29" s="203"/>
      <c r="H29" s="203"/>
      <c r="I29" s="203"/>
      <c r="J29" s="203"/>
      <c r="K29" s="203"/>
      <c r="L29" s="203"/>
      <c r="M29" s="203"/>
      <c r="N29" s="203"/>
      <c r="O29" s="203"/>
      <c r="P29" s="203"/>
      <c r="Q29" s="203"/>
      <c r="R29" s="203"/>
      <c r="S29" s="203"/>
      <c r="T29" s="203"/>
      <c r="U29" s="203"/>
      <c r="V29" s="203"/>
    </row>
    <row r="30" spans="1:22" x14ac:dyDescent="0.35">
      <c r="A30" s="27">
        <f>IFERROR(IF('PAAR UPDATE'!$B$10="English",'Add Info-Info Supp-Info Ad'!$A30,IF('PAAR UPDATE'!$B$10="Français",VLOOKUP('Add Info-Info Supp-Info Ad'!$A30,For_EN[],3,0),IF('PAAR UPDATE'!$B$10="Español",VLOOKUP('Add Info-Info Supp-Info Ad'!$A30,For_EN[[Español]:[English]],2,0)))),0)</f>
        <v>0</v>
      </c>
      <c r="B30" s="27">
        <f>IFERROR(IF('PAAR UPDATE'!$B$10="English",'Add Info-Info Supp-Info Ad'!$B30,IF('PAAR UPDATE'!$B$10="Français",VLOOKUP('Add Info-Info Supp-Info Ad'!$B30,For_EN[],3,0),IF('PAAR UPDATE'!$B$10="Español",VLOOKUP('Add Info-Info Supp-Info Ad'!$B30,For_EN[[Español]:[English]],2,0)))),0)</f>
        <v>0</v>
      </c>
      <c r="C30" s="27">
        <f>IFERROR(IF('PAAR UPDATE'!$B$10="English",'Add Info-Info Supp-Info Ad'!$C30,IF('PAAR UPDATE'!$B$10="Français",VLOOKUP('Add Info-Info Supp-Info Ad'!$C30,For_EN[],3,0),IF('PAAR UPDATE'!$B$10="Español",VLOOKUP('Add Info-Info Supp-Info Ad'!$C30,For_EN[[Español]:[English]],2,0)))),0)</f>
        <v>0</v>
      </c>
      <c r="D30" s="203">
        <f>'Add Info-Info Supp-Info Ad'!D30</f>
        <v>0</v>
      </c>
      <c r="E30" s="203"/>
      <c r="F30" s="203"/>
      <c r="G30" s="203"/>
      <c r="H30" s="203"/>
      <c r="I30" s="203"/>
      <c r="J30" s="203"/>
      <c r="K30" s="203"/>
      <c r="L30" s="203"/>
      <c r="M30" s="203"/>
      <c r="N30" s="203"/>
      <c r="O30" s="203"/>
      <c r="P30" s="203"/>
      <c r="Q30" s="203"/>
      <c r="R30" s="203"/>
      <c r="S30" s="203"/>
      <c r="T30" s="203"/>
      <c r="U30" s="203"/>
      <c r="V30" s="203"/>
    </row>
    <row r="31" spans="1:22" x14ac:dyDescent="0.35">
      <c r="A31" s="27">
        <f>IFERROR(IF('PAAR UPDATE'!$B$10="English",'Add Info-Info Supp-Info Ad'!$A31,IF('PAAR UPDATE'!$B$10="Français",VLOOKUP('Add Info-Info Supp-Info Ad'!$A31,For_EN[],3,0),IF('PAAR UPDATE'!$B$10="Español",VLOOKUP('Add Info-Info Supp-Info Ad'!$A31,For_EN[[Español]:[English]],2,0)))),0)</f>
        <v>0</v>
      </c>
      <c r="B31" s="27">
        <f>IFERROR(IF('PAAR UPDATE'!$B$10="English",'Add Info-Info Supp-Info Ad'!$B31,IF('PAAR UPDATE'!$B$10="Français",VLOOKUP('Add Info-Info Supp-Info Ad'!$B31,For_EN[],3,0),IF('PAAR UPDATE'!$B$10="Español",VLOOKUP('Add Info-Info Supp-Info Ad'!$B31,For_EN[[Español]:[English]],2,0)))),0)</f>
        <v>0</v>
      </c>
      <c r="C31" s="27">
        <f>IFERROR(IF('PAAR UPDATE'!$B$10="English",'Add Info-Info Supp-Info Ad'!$C31,IF('PAAR UPDATE'!$B$10="Français",VLOOKUP('Add Info-Info Supp-Info Ad'!$C31,For_EN[],3,0),IF('PAAR UPDATE'!$B$10="Español",VLOOKUP('Add Info-Info Supp-Info Ad'!$C31,For_EN[[Español]:[English]],2,0)))),0)</f>
        <v>0</v>
      </c>
      <c r="D31" s="203">
        <f>'Add Info-Info Supp-Info Ad'!D31</f>
        <v>0</v>
      </c>
      <c r="E31" s="203"/>
      <c r="F31" s="203"/>
      <c r="G31" s="203"/>
      <c r="H31" s="203"/>
      <c r="I31" s="203"/>
      <c r="J31" s="203"/>
      <c r="K31" s="203"/>
      <c r="L31" s="203"/>
      <c r="M31" s="203"/>
      <c r="N31" s="203"/>
      <c r="O31" s="203"/>
      <c r="P31" s="203"/>
      <c r="Q31" s="203"/>
      <c r="R31" s="203"/>
      <c r="S31" s="203"/>
      <c r="T31" s="203"/>
      <c r="U31" s="203"/>
      <c r="V31" s="203"/>
    </row>
    <row r="32" spans="1:22" x14ac:dyDescent="0.35">
      <c r="A32" s="27">
        <f>IFERROR(IF('PAAR UPDATE'!$B$10="English",'Add Info-Info Supp-Info Ad'!$A32,IF('PAAR UPDATE'!$B$10="Français",VLOOKUP('Add Info-Info Supp-Info Ad'!$A32,For_EN[],3,0),IF('PAAR UPDATE'!$B$10="Español",VLOOKUP('Add Info-Info Supp-Info Ad'!$A32,For_EN[[Español]:[English]],2,0)))),0)</f>
        <v>0</v>
      </c>
      <c r="B32" s="27">
        <f>IFERROR(IF('PAAR UPDATE'!$B$10="English",'Add Info-Info Supp-Info Ad'!$B32,IF('PAAR UPDATE'!$B$10="Français",VLOOKUP('Add Info-Info Supp-Info Ad'!$B32,For_EN[],3,0),IF('PAAR UPDATE'!$B$10="Español",VLOOKUP('Add Info-Info Supp-Info Ad'!$B32,For_EN[[Español]:[English]],2,0)))),0)</f>
        <v>0</v>
      </c>
      <c r="C32" s="27">
        <f>IFERROR(IF('PAAR UPDATE'!$B$10="English",'Add Info-Info Supp-Info Ad'!$C32,IF('PAAR UPDATE'!$B$10="Français",VLOOKUP('Add Info-Info Supp-Info Ad'!$C32,For_EN[],3,0),IF('PAAR UPDATE'!$B$10="Español",VLOOKUP('Add Info-Info Supp-Info Ad'!$C32,For_EN[[Español]:[English]],2,0)))),0)</f>
        <v>0</v>
      </c>
      <c r="D32" s="203">
        <f>'Add Info-Info Supp-Info Ad'!D32</f>
        <v>0</v>
      </c>
      <c r="E32" s="203"/>
      <c r="F32" s="203"/>
      <c r="G32" s="203"/>
      <c r="H32" s="203"/>
      <c r="I32" s="203"/>
      <c r="J32" s="203"/>
      <c r="K32" s="203"/>
      <c r="L32" s="203"/>
      <c r="M32" s="203"/>
      <c r="N32" s="203"/>
      <c r="O32" s="203"/>
      <c r="P32" s="203"/>
      <c r="Q32" s="203"/>
      <c r="R32" s="203"/>
      <c r="S32" s="203"/>
      <c r="T32" s="203"/>
      <c r="U32" s="203"/>
      <c r="V32" s="203"/>
    </row>
    <row r="33" spans="1:22" x14ac:dyDescent="0.35">
      <c r="A33" s="27">
        <f>IFERROR(IF('PAAR UPDATE'!$B$10="English",'Add Info-Info Supp-Info Ad'!$A33,IF('PAAR UPDATE'!$B$10="Français",VLOOKUP('Add Info-Info Supp-Info Ad'!$A33,For_EN[],3,0),IF('PAAR UPDATE'!$B$10="Español",VLOOKUP('Add Info-Info Supp-Info Ad'!$A33,For_EN[[Español]:[English]],2,0)))),0)</f>
        <v>0</v>
      </c>
      <c r="B33" s="27">
        <f>IFERROR(IF('PAAR UPDATE'!$B$10="English",'Add Info-Info Supp-Info Ad'!$B33,IF('PAAR UPDATE'!$B$10="Français",VLOOKUP('Add Info-Info Supp-Info Ad'!$B33,For_EN[],3,0),IF('PAAR UPDATE'!$B$10="Español",VLOOKUP('Add Info-Info Supp-Info Ad'!$B33,For_EN[[Español]:[English]],2,0)))),0)</f>
        <v>0</v>
      </c>
      <c r="C33" s="27">
        <f>IFERROR(IF('PAAR UPDATE'!$B$10="English",'Add Info-Info Supp-Info Ad'!$C33,IF('PAAR UPDATE'!$B$10="Français",VLOOKUP('Add Info-Info Supp-Info Ad'!$C33,For_EN[],3,0),IF('PAAR UPDATE'!$B$10="Español",VLOOKUP('Add Info-Info Supp-Info Ad'!$C33,For_EN[[Español]:[English]],2,0)))),0)</f>
        <v>0</v>
      </c>
      <c r="D33" s="203">
        <f>'Add Info-Info Supp-Info Ad'!D33</f>
        <v>0</v>
      </c>
      <c r="E33" s="203"/>
      <c r="F33" s="203"/>
      <c r="G33" s="203"/>
      <c r="H33" s="203"/>
      <c r="I33" s="203"/>
      <c r="J33" s="203"/>
      <c r="K33" s="203"/>
      <c r="L33" s="203"/>
      <c r="M33" s="203"/>
      <c r="N33" s="203"/>
      <c r="O33" s="203"/>
      <c r="P33" s="203"/>
      <c r="Q33" s="203"/>
      <c r="R33" s="203"/>
      <c r="S33" s="203"/>
      <c r="T33" s="203"/>
      <c r="U33" s="203"/>
      <c r="V33" s="203"/>
    </row>
    <row r="34" spans="1:22" x14ac:dyDescent="0.35">
      <c r="A34" s="27">
        <f>IFERROR(IF('PAAR UPDATE'!$B$10="English",'Add Info-Info Supp-Info Ad'!$A34,IF('PAAR UPDATE'!$B$10="Français",VLOOKUP('Add Info-Info Supp-Info Ad'!$A34,For_EN[],3,0),IF('PAAR UPDATE'!$B$10="Español",VLOOKUP('Add Info-Info Supp-Info Ad'!$A34,For_EN[[Español]:[English]],2,0)))),0)</f>
        <v>0</v>
      </c>
      <c r="B34" s="27">
        <f>IFERROR(IF('PAAR UPDATE'!$B$10="English",'Add Info-Info Supp-Info Ad'!$B34,IF('PAAR UPDATE'!$B$10="Français",VLOOKUP('Add Info-Info Supp-Info Ad'!$B34,For_EN[],3,0),IF('PAAR UPDATE'!$B$10="Español",VLOOKUP('Add Info-Info Supp-Info Ad'!$B34,For_EN[[Español]:[English]],2,0)))),0)</f>
        <v>0</v>
      </c>
      <c r="C34" s="27">
        <f>IFERROR(IF('PAAR UPDATE'!$B$10="English",'Add Info-Info Supp-Info Ad'!$C34,IF('PAAR UPDATE'!$B$10="Français",VLOOKUP('Add Info-Info Supp-Info Ad'!$C34,For_EN[],3,0),IF('PAAR UPDATE'!$B$10="Español",VLOOKUP('Add Info-Info Supp-Info Ad'!$C34,For_EN[[Español]:[English]],2,0)))),0)</f>
        <v>0</v>
      </c>
      <c r="D34" s="203">
        <f>'Add Info-Info Supp-Info Ad'!D34</f>
        <v>0</v>
      </c>
      <c r="E34" s="203"/>
      <c r="F34" s="203"/>
      <c r="G34" s="203"/>
      <c r="H34" s="203"/>
      <c r="I34" s="203"/>
      <c r="J34" s="203"/>
      <c r="K34" s="203"/>
      <c r="L34" s="203"/>
      <c r="M34" s="203"/>
      <c r="N34" s="203"/>
      <c r="O34" s="203"/>
      <c r="P34" s="203"/>
      <c r="Q34" s="203"/>
      <c r="R34" s="203"/>
      <c r="S34" s="203"/>
      <c r="T34" s="203"/>
      <c r="U34" s="203"/>
      <c r="V34" s="203"/>
    </row>
    <row r="35" spans="1:22" x14ac:dyDescent="0.35">
      <c r="A35" s="27">
        <f>IFERROR(IF('PAAR UPDATE'!$B$10="English",'Add Info-Info Supp-Info Ad'!$A35,IF('PAAR UPDATE'!$B$10="Français",VLOOKUP('Add Info-Info Supp-Info Ad'!$A35,For_EN[],3,0),IF('PAAR UPDATE'!$B$10="Español",VLOOKUP('Add Info-Info Supp-Info Ad'!$A35,For_EN[[Español]:[English]],2,0)))),0)</f>
        <v>0</v>
      </c>
      <c r="B35" s="27">
        <f>IFERROR(IF('PAAR UPDATE'!$B$10="English",'Add Info-Info Supp-Info Ad'!$B35,IF('PAAR UPDATE'!$B$10="Français",VLOOKUP('Add Info-Info Supp-Info Ad'!$B35,For_EN[],3,0),IF('PAAR UPDATE'!$B$10="Español",VLOOKUP('Add Info-Info Supp-Info Ad'!$B35,For_EN[[Español]:[English]],2,0)))),0)</f>
        <v>0</v>
      </c>
      <c r="C35" s="27">
        <f>IFERROR(IF('PAAR UPDATE'!$B$10="English",'Add Info-Info Supp-Info Ad'!$C35,IF('PAAR UPDATE'!$B$10="Français",VLOOKUP('Add Info-Info Supp-Info Ad'!$C35,For_EN[],3,0),IF('PAAR UPDATE'!$B$10="Español",VLOOKUP('Add Info-Info Supp-Info Ad'!$C35,For_EN[[Español]:[English]],2,0)))),0)</f>
        <v>0</v>
      </c>
      <c r="D35" s="203">
        <f>'Add Info-Info Supp-Info Ad'!D35</f>
        <v>0</v>
      </c>
      <c r="E35" s="203"/>
      <c r="F35" s="203"/>
      <c r="G35" s="203"/>
      <c r="H35" s="203"/>
      <c r="I35" s="203"/>
      <c r="J35" s="203"/>
      <c r="K35" s="203"/>
      <c r="L35" s="203"/>
      <c r="M35" s="203"/>
      <c r="N35" s="203"/>
      <c r="O35" s="203"/>
      <c r="P35" s="203"/>
      <c r="Q35" s="203"/>
      <c r="R35" s="203"/>
      <c r="S35" s="203"/>
      <c r="T35" s="203"/>
      <c r="U35" s="203"/>
      <c r="V35" s="203"/>
    </row>
  </sheetData>
  <sheetProtection formatRows="0" insertRows="0"/>
  <mergeCells count="35">
    <mergeCell ref="D31:V31"/>
    <mergeCell ref="D32:V32"/>
    <mergeCell ref="D33:V33"/>
    <mergeCell ref="D34:V34"/>
    <mergeCell ref="D35:V35"/>
    <mergeCell ref="D30:V30"/>
    <mergeCell ref="D19:V19"/>
    <mergeCell ref="D20:V20"/>
    <mergeCell ref="D21:V21"/>
    <mergeCell ref="D22:V22"/>
    <mergeCell ref="D23:V23"/>
    <mergeCell ref="D24:V24"/>
    <mergeCell ref="D25:V25"/>
    <mergeCell ref="D26:V26"/>
    <mergeCell ref="D27:V27"/>
    <mergeCell ref="D28:V28"/>
    <mergeCell ref="D29:V29"/>
    <mergeCell ref="D18:V18"/>
    <mergeCell ref="D7:V7"/>
    <mergeCell ref="D8:V8"/>
    <mergeCell ref="D9:V9"/>
    <mergeCell ref="D10:V10"/>
    <mergeCell ref="D11:V11"/>
    <mergeCell ref="D12:V12"/>
    <mergeCell ref="D13:V13"/>
    <mergeCell ref="D14:V14"/>
    <mergeCell ref="D15:V15"/>
    <mergeCell ref="D16:V16"/>
    <mergeCell ref="D17:V17"/>
    <mergeCell ref="D6:V6"/>
    <mergeCell ref="A1:V1"/>
    <mergeCell ref="A2:V2"/>
    <mergeCell ref="D3:V3"/>
    <mergeCell ref="D4:V4"/>
    <mergeCell ref="D5:V5"/>
  </mergeCells>
  <pageMargins left="0.7" right="0.7" top="0.75" bottom="0.75" header="0.3" footer="0.3"/>
  <pageSetup paperSize="9" scale="3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P583"/>
  <sheetViews>
    <sheetView topLeftCell="V2" workbookViewId="0">
      <selection activeCell="X2" sqref="X2"/>
    </sheetView>
  </sheetViews>
  <sheetFormatPr defaultColWidth="2.90625" defaultRowHeight="14.5" x14ac:dyDescent="0.35"/>
  <cols>
    <col min="1" max="1" width="13.90625" style="1" bestFit="1" customWidth="1" collapsed="1"/>
    <col min="2" max="2" width="14.90625" style="1" bestFit="1" customWidth="1" collapsed="1"/>
    <col min="3" max="3" width="15.08984375" style="1" customWidth="1" collapsed="1"/>
    <col min="4" max="4" width="12.453125" style="1" bestFit="1" customWidth="1" collapsed="1"/>
    <col min="5" max="5" width="15.90625" style="1" customWidth="1" collapsed="1"/>
    <col min="6" max="6" width="19.453125" style="1" bestFit="1" customWidth="1" collapsed="1"/>
    <col min="7" max="7" width="28.90625" style="1" bestFit="1" customWidth="1" collapsed="1"/>
    <col min="8" max="8" width="19.453125" style="1" bestFit="1" customWidth="1" collapsed="1"/>
    <col min="9" max="9" width="21.90625" style="1" customWidth="1" collapsed="1"/>
    <col min="10" max="10" width="19.453125" style="1" bestFit="1" customWidth="1" collapsed="1"/>
    <col min="11" max="11" width="19.453125" style="1" customWidth="1" collapsed="1"/>
    <col min="12" max="12" width="100.90625" style="1" customWidth="1" collapsed="1"/>
    <col min="13" max="13" width="19.453125" style="1" customWidth="1" collapsed="1"/>
    <col min="14" max="14" width="120.90625" style="1" customWidth="1" collapsed="1"/>
    <col min="15" max="17" width="19.453125" style="1" customWidth="1" collapsed="1"/>
    <col min="18" max="19" width="11.90625" style="1" bestFit="1" customWidth="1" collapsed="1"/>
    <col min="20" max="20" width="25.54296875" style="1" bestFit="1" customWidth="1" collapsed="1"/>
    <col min="21" max="21" width="18.08984375" style="1" customWidth="1" collapsed="1"/>
    <col min="22" max="22" width="17" bestFit="1" customWidth="1" collapsed="1"/>
    <col min="23" max="23" width="33.54296875" customWidth="1" collapsed="1"/>
    <col min="24" max="24" width="26.08984375" customWidth="1" collapsed="1"/>
    <col min="25" max="25" width="24.54296875" bestFit="1" customWidth="1" collapsed="1"/>
    <col min="26" max="26" width="32.90625" style="1" customWidth="1" collapsed="1"/>
    <col min="27" max="27" width="28.08984375" style="1" customWidth="1" collapsed="1"/>
    <col min="28" max="29" width="20.453125" style="1" bestFit="1" customWidth="1" collapsed="1"/>
    <col min="30" max="30" width="17.54296875" style="1" customWidth="1" collapsed="1"/>
    <col min="31" max="31" width="26.90625" style="1" bestFit="1" customWidth="1" collapsed="1"/>
    <col min="32" max="32" width="19.453125" style="1" customWidth="1" collapsed="1"/>
    <col min="33" max="33" width="24" style="1" customWidth="1" collapsed="1"/>
    <col min="34" max="34" width="19" style="1" customWidth="1" collapsed="1"/>
    <col min="35" max="35" width="20.90625" style="1" customWidth="1" collapsed="1"/>
    <col min="36" max="36" width="19.54296875" style="1" customWidth="1" collapsed="1"/>
    <col min="37" max="37" width="12.453125" style="1" customWidth="1" collapsed="1"/>
    <col min="38" max="38" width="8.90625" style="1" customWidth="1" collapsed="1"/>
    <col min="39" max="39" width="12.453125" style="1" customWidth="1" collapsed="1"/>
    <col min="40" max="40" width="15.54296875" style="1" customWidth="1" collapsed="1"/>
    <col min="41" max="41" width="10.08984375" style="1" customWidth="1" collapsed="1"/>
    <col min="42" max="42" width="100.90625" style="1" customWidth="1" collapsed="1"/>
    <col min="43" max="16384" width="2.90625" style="1" collapsed="1"/>
  </cols>
  <sheetData>
    <row r="1" spans="1:42" x14ac:dyDescent="0.35">
      <c r="A1" s="1" t="s">
        <v>9</v>
      </c>
      <c r="B1" s="1" t="s">
        <v>34</v>
      </c>
      <c r="C1" s="1" t="s">
        <v>35</v>
      </c>
      <c r="D1" s="1" t="s">
        <v>36</v>
      </c>
      <c r="E1" s="1" t="s">
        <v>37</v>
      </c>
      <c r="F1" s="1" t="s">
        <v>38</v>
      </c>
      <c r="G1" s="1" t="s">
        <v>39</v>
      </c>
      <c r="H1" s="1" t="s">
        <v>40</v>
      </c>
      <c r="I1" s="1" t="s">
        <v>41</v>
      </c>
      <c r="J1" s="1" t="s">
        <v>42</v>
      </c>
      <c r="K1" s="1" t="s">
        <v>43</v>
      </c>
      <c r="L1" s="1" t="s">
        <v>44</v>
      </c>
      <c r="M1" s="1" t="s">
        <v>45</v>
      </c>
      <c r="N1" s="1" t="s">
        <v>46</v>
      </c>
      <c r="O1" s="1" t="s">
        <v>47</v>
      </c>
      <c r="P1" s="1" t="s">
        <v>48</v>
      </c>
      <c r="Q1" s="1" t="s">
        <v>49</v>
      </c>
      <c r="R1" s="1" t="s">
        <v>50</v>
      </c>
      <c r="S1" s="1" t="s">
        <v>51</v>
      </c>
      <c r="T1" s="1" t="s">
        <v>52</v>
      </c>
      <c r="U1" s="1" t="s">
        <v>53</v>
      </c>
      <c r="V1" s="1" t="s">
        <v>54</v>
      </c>
      <c r="W1" s="1" t="s">
        <v>55</v>
      </c>
      <c r="X1" s="1" t="s">
        <v>56</v>
      </c>
      <c r="Y1" s="1" t="s">
        <v>57</v>
      </c>
      <c r="Z1" s="1" t="s">
        <v>58</v>
      </c>
      <c r="AA1" s="1" t="s">
        <v>59</v>
      </c>
      <c r="AB1" s="1" t="s">
        <v>60</v>
      </c>
      <c r="AC1" s="1" t="s">
        <v>61</v>
      </c>
      <c r="AD1" s="1" t="s">
        <v>62</v>
      </c>
      <c r="AE1" s="1" t="s">
        <v>63</v>
      </c>
      <c r="AF1" s="1" t="s">
        <v>792</v>
      </c>
      <c r="AG1" s="1" t="s">
        <v>867</v>
      </c>
      <c r="AH1" s="1" t="s">
        <v>868</v>
      </c>
      <c r="AI1" s="1" t="s">
        <v>869</v>
      </c>
      <c r="AJ1" s="1" t="s">
        <v>874</v>
      </c>
      <c r="AK1" s="1" t="s">
        <v>877</v>
      </c>
      <c r="AL1" s="1" t="s">
        <v>880</v>
      </c>
      <c r="AM1" s="1" t="s">
        <v>883</v>
      </c>
      <c r="AN1" s="1" t="s">
        <v>886</v>
      </c>
      <c r="AO1" s="1" t="s">
        <v>889</v>
      </c>
      <c r="AP1" s="1" t="s">
        <v>898</v>
      </c>
    </row>
    <row r="2" spans="1:42" ht="276" thickBot="1" x14ac:dyDescent="0.4">
      <c r="A2" s="1" t="s">
        <v>3</v>
      </c>
      <c r="B2" s="1" t="s">
        <v>9</v>
      </c>
      <c r="C2" s="1" t="s">
        <v>836</v>
      </c>
      <c r="D2" s="1" t="s">
        <v>5</v>
      </c>
      <c r="E2" s="1" t="s">
        <v>10</v>
      </c>
      <c r="F2" s="1" t="s">
        <v>788</v>
      </c>
      <c r="G2" s="1" t="s">
        <v>12</v>
      </c>
      <c r="H2" s="1" t="s">
        <v>13</v>
      </c>
      <c r="I2" s="1" t="s">
        <v>14</v>
      </c>
      <c r="J2" s="1" t="s">
        <v>15</v>
      </c>
      <c r="K2" s="1" t="s">
        <v>16</v>
      </c>
      <c r="L2" s="1" t="s">
        <v>64</v>
      </c>
      <c r="M2" s="1" t="s">
        <v>902</v>
      </c>
      <c r="N2" s="1" t="s">
        <v>65</v>
      </c>
      <c r="O2" s="1" t="s">
        <v>104</v>
      </c>
      <c r="P2" s="1" t="s">
        <v>20</v>
      </c>
      <c r="Q2" s="1" t="s">
        <v>21</v>
      </c>
      <c r="R2" s="1" t="s">
        <v>945</v>
      </c>
      <c r="S2" s="1" t="s">
        <v>946</v>
      </c>
      <c r="T2" s="1" t="s">
        <v>947</v>
      </c>
      <c r="U2" s="1" t="s">
        <v>930</v>
      </c>
      <c r="V2" s="1" t="s">
        <v>951</v>
      </c>
      <c r="W2" s="67" t="s">
        <v>138</v>
      </c>
      <c r="X2" s="1" t="s">
        <v>950</v>
      </c>
      <c r="Y2" s="1" t="s">
        <v>29</v>
      </c>
      <c r="Z2" s="1" t="s">
        <v>952</v>
      </c>
      <c r="AA2" s="1" t="s">
        <v>31</v>
      </c>
      <c r="AB2" s="1" t="s">
        <v>20</v>
      </c>
      <c r="AC2" s="1" t="s">
        <v>32</v>
      </c>
      <c r="AD2" s="1" t="s">
        <v>22</v>
      </c>
      <c r="AE2" s="1" t="s">
        <v>33</v>
      </c>
      <c r="AG2" s="82" t="s">
        <v>921</v>
      </c>
      <c r="AH2" s="81" t="s">
        <v>928</v>
      </c>
      <c r="AI2" s="81" t="s">
        <v>929</v>
      </c>
      <c r="AJ2" s="1" t="s">
        <v>832</v>
      </c>
      <c r="AK2" s="88" t="s">
        <v>833</v>
      </c>
      <c r="AL2" s="88" t="s">
        <v>827</v>
      </c>
      <c r="AM2" s="88" t="s">
        <v>835</v>
      </c>
      <c r="AN2" s="88" t="s">
        <v>833</v>
      </c>
      <c r="AO2" s="1" t="s">
        <v>793</v>
      </c>
      <c r="AP2" s="1" t="s">
        <v>899</v>
      </c>
    </row>
    <row r="3" spans="1:42" ht="305" thickBot="1" x14ac:dyDescent="0.55000000000000004">
      <c r="A3" s="1" t="s">
        <v>66</v>
      </c>
      <c r="B3" s="1" t="s">
        <v>67</v>
      </c>
      <c r="C3" s="1" t="s">
        <v>837</v>
      </c>
      <c r="D3" s="1" t="s">
        <v>68</v>
      </c>
      <c r="E3" s="1" t="s">
        <v>69</v>
      </c>
      <c r="F3" s="1" t="s">
        <v>815</v>
      </c>
      <c r="G3" s="1" t="s">
        <v>70</v>
      </c>
      <c r="H3" s="1" t="s">
        <v>71</v>
      </c>
      <c r="I3" s="1" t="s">
        <v>72</v>
      </c>
      <c r="J3" s="1" t="s">
        <v>73</v>
      </c>
      <c r="K3" s="1" t="s">
        <v>74</v>
      </c>
      <c r="L3" s="1" t="s">
        <v>75</v>
      </c>
      <c r="M3" s="1" t="s">
        <v>903</v>
      </c>
      <c r="N3" s="1" t="s">
        <v>76</v>
      </c>
      <c r="O3" s="1" t="s">
        <v>77</v>
      </c>
      <c r="P3" s="1" t="s">
        <v>20</v>
      </c>
      <c r="Q3" s="1" t="s">
        <v>21</v>
      </c>
      <c r="R3" s="1" t="s">
        <v>78</v>
      </c>
      <c r="S3" s="1" t="s">
        <v>79</v>
      </c>
      <c r="T3" s="1" t="s">
        <v>948</v>
      </c>
      <c r="U3" s="1" t="s">
        <v>819</v>
      </c>
      <c r="V3" s="1" t="s">
        <v>821</v>
      </c>
      <c r="W3" s="1" t="s">
        <v>817</v>
      </c>
      <c r="X3" s="1" t="s">
        <v>956</v>
      </c>
      <c r="Y3" s="1" t="s">
        <v>80</v>
      </c>
      <c r="Z3" s="1" t="s">
        <v>953</v>
      </c>
      <c r="AA3" s="1" t="s">
        <v>81</v>
      </c>
      <c r="AB3" s="1" t="s">
        <v>20</v>
      </c>
      <c r="AC3" s="1" t="s">
        <v>32</v>
      </c>
      <c r="AD3" s="1" t="s">
        <v>78</v>
      </c>
      <c r="AE3" s="1" t="s">
        <v>82</v>
      </c>
      <c r="AG3" s="83" t="s">
        <v>922</v>
      </c>
      <c r="AH3" s="84" t="s">
        <v>927</v>
      </c>
      <c r="AI3" s="84" t="s">
        <v>926</v>
      </c>
      <c r="AJ3" s="87" t="s">
        <v>875</v>
      </c>
      <c r="AK3" s="87" t="s">
        <v>878</v>
      </c>
      <c r="AL3" s="89" t="s">
        <v>881</v>
      </c>
      <c r="AM3" s="89" t="s">
        <v>884</v>
      </c>
      <c r="AN3" s="89" t="s">
        <v>887</v>
      </c>
      <c r="AO3" s="1" t="s">
        <v>890</v>
      </c>
      <c r="AP3" s="1" t="s">
        <v>900</v>
      </c>
    </row>
    <row r="4" spans="1:42" ht="319.5" thickBot="1" x14ac:dyDescent="0.55000000000000004">
      <c r="A4" s="1" t="s">
        <v>83</v>
      </c>
      <c r="B4" s="1" t="s">
        <v>84</v>
      </c>
      <c r="C4" s="1" t="s">
        <v>838</v>
      </c>
      <c r="D4" s="1" t="s">
        <v>85</v>
      </c>
      <c r="E4" s="1" t="s">
        <v>86</v>
      </c>
      <c r="F4" s="1" t="s">
        <v>816</v>
      </c>
      <c r="G4" s="1" t="s">
        <v>87</v>
      </c>
      <c r="H4" s="1" t="s">
        <v>88</v>
      </c>
      <c r="I4" s="1" t="s">
        <v>89</v>
      </c>
      <c r="J4" s="1" t="s">
        <v>90</v>
      </c>
      <c r="K4" s="1" t="s">
        <v>91</v>
      </c>
      <c r="L4" s="1" t="s">
        <v>92</v>
      </c>
      <c r="M4" s="1" t="s">
        <v>904</v>
      </c>
      <c r="N4" s="1" t="s">
        <v>93</v>
      </c>
      <c r="O4" s="1" t="s">
        <v>94</v>
      </c>
      <c r="P4" s="1" t="s">
        <v>95</v>
      </c>
      <c r="Q4" s="1" t="s">
        <v>96</v>
      </c>
      <c r="R4" s="1" t="s">
        <v>97</v>
      </c>
      <c r="S4" s="1" t="s">
        <v>98</v>
      </c>
      <c r="T4" s="1" t="s">
        <v>949</v>
      </c>
      <c r="U4" s="1" t="s">
        <v>820</v>
      </c>
      <c r="V4" s="1" t="s">
        <v>822</v>
      </c>
      <c r="W4" s="1" t="s">
        <v>818</v>
      </c>
      <c r="X4" s="1" t="s">
        <v>955</v>
      </c>
      <c r="Y4" s="1" t="s">
        <v>99</v>
      </c>
      <c r="Z4" s="1" t="s">
        <v>954</v>
      </c>
      <c r="AA4" s="1" t="s">
        <v>100</v>
      </c>
      <c r="AB4" s="1" t="s">
        <v>95</v>
      </c>
      <c r="AC4" s="1" t="s">
        <v>101</v>
      </c>
      <c r="AD4" s="1" t="s">
        <v>97</v>
      </c>
      <c r="AE4" s="1" t="s">
        <v>102</v>
      </c>
      <c r="AG4" s="84" t="s">
        <v>923</v>
      </c>
      <c r="AH4" s="83" t="s">
        <v>925</v>
      </c>
      <c r="AI4" s="83" t="s">
        <v>924</v>
      </c>
      <c r="AJ4" s="87" t="s">
        <v>876</v>
      </c>
      <c r="AK4" s="87" t="s">
        <v>879</v>
      </c>
      <c r="AL4" s="86" t="s">
        <v>882</v>
      </c>
      <c r="AM4" s="87" t="s">
        <v>885</v>
      </c>
      <c r="AN4" s="87" t="s">
        <v>888</v>
      </c>
      <c r="AO4" s="1" t="s">
        <v>891</v>
      </c>
      <c r="AP4" s="1" t="s">
        <v>901</v>
      </c>
    </row>
    <row r="6" spans="1:42" x14ac:dyDescent="0.35">
      <c r="A6" s="2" t="s">
        <v>9</v>
      </c>
      <c r="B6" s="2" t="s">
        <v>103</v>
      </c>
      <c r="D6" s="2" t="s">
        <v>14</v>
      </c>
      <c r="F6" s="2" t="s">
        <v>9</v>
      </c>
      <c r="G6" s="2" t="s">
        <v>104</v>
      </c>
      <c r="H6" s="2" t="s">
        <v>9</v>
      </c>
      <c r="I6" s="2" t="s">
        <v>892</v>
      </c>
      <c r="J6" s="2" t="s">
        <v>9</v>
      </c>
      <c r="K6" s="2" t="s">
        <v>103</v>
      </c>
      <c r="L6" s="2" t="s">
        <v>20</v>
      </c>
      <c r="N6" s="2" t="s">
        <v>9</v>
      </c>
      <c r="O6" s="2" t="s">
        <v>20</v>
      </c>
      <c r="P6" s="2" t="s">
        <v>32</v>
      </c>
      <c r="V6" s="1"/>
      <c r="Z6"/>
      <c r="AA6"/>
    </row>
    <row r="7" spans="1:42" x14ac:dyDescent="0.35">
      <c r="A7" s="1" t="s">
        <v>3</v>
      </c>
      <c r="B7" s="1" t="s">
        <v>105</v>
      </c>
      <c r="D7" s="1" t="s">
        <v>106</v>
      </c>
      <c r="F7" s="1" t="s">
        <v>3</v>
      </c>
      <c r="G7" s="3" t="s">
        <v>803</v>
      </c>
      <c r="H7" s="1" t="s">
        <v>3</v>
      </c>
      <c r="I7" s="3" t="s">
        <v>803</v>
      </c>
      <c r="J7" s="1" t="s">
        <v>3</v>
      </c>
      <c r="K7" s="1" t="s">
        <v>105</v>
      </c>
      <c r="L7" s="4" t="s">
        <v>107</v>
      </c>
      <c r="N7" s="1" t="s">
        <v>3</v>
      </c>
      <c r="O7" s="4" t="s">
        <v>108</v>
      </c>
      <c r="P7" s="4" t="s">
        <v>109</v>
      </c>
      <c r="V7" s="1"/>
      <c r="Z7"/>
      <c r="AA7"/>
    </row>
    <row r="8" spans="1:42" x14ac:dyDescent="0.35">
      <c r="A8" s="1" t="s">
        <v>3</v>
      </c>
      <c r="B8" s="1" t="s">
        <v>110</v>
      </c>
      <c r="D8" s="1" t="s">
        <v>111</v>
      </c>
      <c r="F8" s="1" t="s">
        <v>3</v>
      </c>
      <c r="G8" s="3" t="s">
        <v>804</v>
      </c>
      <c r="H8" s="1" t="s">
        <v>3</v>
      </c>
      <c r="I8" s="3" t="s">
        <v>804</v>
      </c>
      <c r="J8" s="1" t="s">
        <v>3</v>
      </c>
      <c r="K8" s="1" t="s">
        <v>105</v>
      </c>
      <c r="L8" s="4" t="s">
        <v>112</v>
      </c>
      <c r="N8" s="1" t="s">
        <v>3</v>
      </c>
      <c r="O8" s="4" t="s">
        <v>108</v>
      </c>
      <c r="P8" s="4" t="s">
        <v>113</v>
      </c>
      <c r="V8" s="1"/>
      <c r="Z8"/>
      <c r="AA8"/>
    </row>
    <row r="9" spans="1:42" x14ac:dyDescent="0.35">
      <c r="A9" s="1" t="s">
        <v>3</v>
      </c>
      <c r="B9" s="1" t="s">
        <v>114</v>
      </c>
      <c r="F9" s="1" t="s">
        <v>3</v>
      </c>
      <c r="G9" s="3" t="s">
        <v>805</v>
      </c>
      <c r="H9" s="1" t="s">
        <v>3</v>
      </c>
      <c r="I9" s="3" t="s">
        <v>805</v>
      </c>
      <c r="J9" s="1" t="s">
        <v>3</v>
      </c>
      <c r="K9" s="1" t="s">
        <v>105</v>
      </c>
      <c r="L9" s="4" t="s">
        <v>115</v>
      </c>
      <c r="N9" s="1" t="s">
        <v>3</v>
      </c>
      <c r="O9" s="4" t="s">
        <v>108</v>
      </c>
      <c r="P9" s="4" t="s">
        <v>116</v>
      </c>
      <c r="V9" s="1"/>
      <c r="Z9"/>
    </row>
    <row r="10" spans="1:42" x14ac:dyDescent="0.35">
      <c r="A10" s="1" t="s">
        <v>3</v>
      </c>
      <c r="B10" s="1" t="s">
        <v>117</v>
      </c>
      <c r="F10" s="1" t="s">
        <v>66</v>
      </c>
      <c r="G10" s="1" t="s">
        <v>862</v>
      </c>
      <c r="H10" s="1" t="s">
        <v>3</v>
      </c>
      <c r="I10" s="90" t="s">
        <v>893</v>
      </c>
      <c r="J10" s="1" t="s">
        <v>3</v>
      </c>
      <c r="K10" s="1" t="s">
        <v>105</v>
      </c>
      <c r="L10" s="4" t="s">
        <v>118</v>
      </c>
      <c r="N10" s="1" t="s">
        <v>3</v>
      </c>
      <c r="O10" s="4" t="s">
        <v>108</v>
      </c>
      <c r="P10" s="4" t="s">
        <v>119</v>
      </c>
      <c r="V10" s="1"/>
      <c r="Z10"/>
    </row>
    <row r="11" spans="1:42" x14ac:dyDescent="0.35">
      <c r="A11" s="1" t="s">
        <v>3</v>
      </c>
      <c r="B11" s="1" t="s">
        <v>120</v>
      </c>
      <c r="F11" s="1" t="s">
        <v>66</v>
      </c>
      <c r="G11" s="1" t="s">
        <v>806</v>
      </c>
      <c r="H11" s="1" t="s">
        <v>66</v>
      </c>
      <c r="I11" s="1" t="s">
        <v>862</v>
      </c>
      <c r="J11" s="1" t="s">
        <v>3</v>
      </c>
      <c r="K11" s="1" t="s">
        <v>105</v>
      </c>
      <c r="L11" s="4" t="s">
        <v>121</v>
      </c>
      <c r="N11" s="1" t="s">
        <v>3</v>
      </c>
      <c r="O11" s="4" t="s">
        <v>108</v>
      </c>
      <c r="P11" s="4" t="s">
        <v>122</v>
      </c>
      <c r="V11" s="1"/>
      <c r="Z11"/>
    </row>
    <row r="12" spans="1:42" x14ac:dyDescent="0.35">
      <c r="A12" s="1" t="s">
        <v>3</v>
      </c>
      <c r="B12" s="1" t="s">
        <v>123</v>
      </c>
      <c r="F12" s="1" t="s">
        <v>66</v>
      </c>
      <c r="G12" s="1" t="s">
        <v>807</v>
      </c>
      <c r="H12" s="1" t="s">
        <v>66</v>
      </c>
      <c r="I12" s="1" t="s">
        <v>806</v>
      </c>
      <c r="J12" s="1" t="s">
        <v>3</v>
      </c>
      <c r="K12" s="1" t="s">
        <v>105</v>
      </c>
      <c r="L12" s="4" t="s">
        <v>124</v>
      </c>
      <c r="N12" s="1" t="s">
        <v>3</v>
      </c>
      <c r="O12" s="4" t="s">
        <v>108</v>
      </c>
      <c r="P12" s="4" t="s">
        <v>125</v>
      </c>
      <c r="V12" s="1"/>
      <c r="Z12"/>
    </row>
    <row r="13" spans="1:42" x14ac:dyDescent="0.35">
      <c r="A13" s="1" t="s">
        <v>66</v>
      </c>
      <c r="B13" s="1" t="s">
        <v>126</v>
      </c>
      <c r="F13" s="1" t="s">
        <v>83</v>
      </c>
      <c r="G13" s="1" t="s">
        <v>808</v>
      </c>
      <c r="H13" s="1" t="s">
        <v>66</v>
      </c>
      <c r="I13" s="1" t="s">
        <v>807</v>
      </c>
      <c r="J13" s="1" t="s">
        <v>3</v>
      </c>
      <c r="K13" s="1" t="s">
        <v>105</v>
      </c>
      <c r="L13" s="4" t="s">
        <v>127</v>
      </c>
      <c r="N13" s="1" t="s">
        <v>3</v>
      </c>
      <c r="O13" s="4" t="s">
        <v>108</v>
      </c>
      <c r="P13" s="4" t="s">
        <v>128</v>
      </c>
      <c r="V13" s="1"/>
      <c r="Z13"/>
    </row>
    <row r="14" spans="1:42" x14ac:dyDescent="0.35">
      <c r="A14" s="1" t="s">
        <v>66</v>
      </c>
      <c r="B14" s="1" t="s">
        <v>129</v>
      </c>
      <c r="F14" s="1" t="s">
        <v>83</v>
      </c>
      <c r="G14" s="1" t="s">
        <v>810</v>
      </c>
      <c r="H14" s="1" t="s">
        <v>66</v>
      </c>
      <c r="I14" s="90" t="s">
        <v>894</v>
      </c>
      <c r="J14" s="1" t="s">
        <v>3</v>
      </c>
      <c r="K14" s="1" t="s">
        <v>105</v>
      </c>
      <c r="L14" s="4" t="s">
        <v>130</v>
      </c>
      <c r="N14" s="1" t="s">
        <v>3</v>
      </c>
      <c r="O14" s="4" t="s">
        <v>108</v>
      </c>
      <c r="P14" s="4" t="s">
        <v>131</v>
      </c>
      <c r="V14" s="1"/>
      <c r="Z14"/>
    </row>
    <row r="15" spans="1:42" x14ac:dyDescent="0.35">
      <c r="A15" s="1" t="s">
        <v>66</v>
      </c>
      <c r="B15" s="1" t="s">
        <v>132</v>
      </c>
      <c r="F15" s="1" t="s">
        <v>83</v>
      </c>
      <c r="G15" s="1" t="s">
        <v>809</v>
      </c>
      <c r="H15" s="1" t="s">
        <v>83</v>
      </c>
      <c r="I15" s="1" t="s">
        <v>808</v>
      </c>
      <c r="J15" s="1" t="s">
        <v>3</v>
      </c>
      <c r="K15" s="1" t="s">
        <v>105</v>
      </c>
      <c r="L15" s="4" t="s">
        <v>108</v>
      </c>
      <c r="N15" s="1" t="s">
        <v>3</v>
      </c>
      <c r="O15" s="4" t="s">
        <v>107</v>
      </c>
      <c r="P15" s="4" t="s">
        <v>133</v>
      </c>
      <c r="V15" s="1"/>
      <c r="Z15"/>
    </row>
    <row r="16" spans="1:42" x14ac:dyDescent="0.35">
      <c r="A16" s="1" t="s">
        <v>66</v>
      </c>
      <c r="B16" s="1" t="s">
        <v>134</v>
      </c>
      <c r="H16" s="1" t="s">
        <v>83</v>
      </c>
      <c r="I16" s="1" t="s">
        <v>810</v>
      </c>
      <c r="J16" s="1" t="s">
        <v>3</v>
      </c>
      <c r="K16" s="1" t="s">
        <v>105</v>
      </c>
      <c r="L16" s="4" t="s">
        <v>135</v>
      </c>
      <c r="N16" s="1" t="s">
        <v>3</v>
      </c>
      <c r="O16" s="4" t="s">
        <v>107</v>
      </c>
      <c r="P16" s="4" t="s">
        <v>136</v>
      </c>
      <c r="V16" s="1"/>
      <c r="Z16"/>
    </row>
    <row r="17" spans="1:26" x14ac:dyDescent="0.35">
      <c r="A17" s="1" t="s">
        <v>66</v>
      </c>
      <c r="B17" s="1" t="s">
        <v>137</v>
      </c>
      <c r="F17" s="2"/>
      <c r="H17" s="1" t="s">
        <v>83</v>
      </c>
      <c r="I17" s="1" t="s">
        <v>809</v>
      </c>
      <c r="J17" s="1" t="s">
        <v>3</v>
      </c>
      <c r="K17" s="1" t="s">
        <v>105</v>
      </c>
      <c r="L17" s="4" t="s">
        <v>139</v>
      </c>
      <c r="N17" s="1" t="s">
        <v>3</v>
      </c>
      <c r="O17" s="4" t="s">
        <v>107</v>
      </c>
      <c r="P17" s="4" t="s">
        <v>140</v>
      </c>
      <c r="V17" s="1"/>
      <c r="Z17"/>
    </row>
    <row r="18" spans="1:26" x14ac:dyDescent="0.35">
      <c r="A18" s="1" t="s">
        <v>66</v>
      </c>
      <c r="B18" s="1" t="s">
        <v>141</v>
      </c>
      <c r="F18" s="3"/>
      <c r="H18" s="1" t="s">
        <v>83</v>
      </c>
      <c r="I18" s="90" t="s">
        <v>895</v>
      </c>
      <c r="J18" s="1" t="s">
        <v>3</v>
      </c>
      <c r="K18" s="1" t="s">
        <v>105</v>
      </c>
      <c r="L18" s="4" t="s">
        <v>142</v>
      </c>
      <c r="N18" s="1" t="s">
        <v>3</v>
      </c>
      <c r="O18" s="4" t="s">
        <v>107</v>
      </c>
      <c r="P18" s="4" t="s">
        <v>143</v>
      </c>
      <c r="V18" s="1"/>
      <c r="Z18"/>
    </row>
    <row r="19" spans="1:26" x14ac:dyDescent="0.35">
      <c r="A19" s="1" t="s">
        <v>83</v>
      </c>
      <c r="B19" s="1" t="s">
        <v>126</v>
      </c>
      <c r="F19" s="3"/>
      <c r="J19" s="1" t="s">
        <v>3</v>
      </c>
      <c r="K19" s="1" t="s">
        <v>105</v>
      </c>
      <c r="L19" s="4" t="s">
        <v>120</v>
      </c>
      <c r="N19" s="1" t="s">
        <v>3</v>
      </c>
      <c r="O19" s="4" t="s">
        <v>107</v>
      </c>
      <c r="P19" s="4" t="s">
        <v>144</v>
      </c>
      <c r="V19" s="1"/>
      <c r="Z19"/>
    </row>
    <row r="20" spans="1:26" x14ac:dyDescent="0.35">
      <c r="A20" s="1" t="s">
        <v>83</v>
      </c>
      <c r="B20" s="1" t="s">
        <v>110</v>
      </c>
      <c r="F20" s="3"/>
      <c r="J20" s="1" t="s">
        <v>3</v>
      </c>
      <c r="K20" s="1" t="s">
        <v>105</v>
      </c>
      <c r="L20" s="4" t="s">
        <v>145</v>
      </c>
      <c r="N20" s="1" t="s">
        <v>3</v>
      </c>
      <c r="O20" s="4" t="s">
        <v>107</v>
      </c>
      <c r="P20" s="4" t="s">
        <v>146</v>
      </c>
      <c r="V20" s="1"/>
      <c r="Z20"/>
    </row>
    <row r="21" spans="1:26" x14ac:dyDescent="0.35">
      <c r="A21" s="1" t="s">
        <v>83</v>
      </c>
      <c r="B21" s="1" t="s">
        <v>114</v>
      </c>
      <c r="F21" s="3"/>
      <c r="J21" s="1" t="s">
        <v>3</v>
      </c>
      <c r="K21" s="1" t="s">
        <v>105</v>
      </c>
      <c r="L21" s="4" t="s">
        <v>147</v>
      </c>
      <c r="N21" s="1" t="s">
        <v>3</v>
      </c>
      <c r="O21" s="4" t="s">
        <v>107</v>
      </c>
      <c r="P21" s="4" t="s">
        <v>148</v>
      </c>
      <c r="V21" s="1"/>
      <c r="Z21"/>
    </row>
    <row r="22" spans="1:26" x14ac:dyDescent="0.35">
      <c r="A22" s="1" t="s">
        <v>83</v>
      </c>
      <c r="B22" s="1" t="s">
        <v>149</v>
      </c>
      <c r="J22" s="1" t="s">
        <v>3</v>
      </c>
      <c r="K22" s="1" t="s">
        <v>105</v>
      </c>
      <c r="L22" s="4" t="s">
        <v>150</v>
      </c>
      <c r="N22" s="1" t="s">
        <v>3</v>
      </c>
      <c r="O22" s="4" t="s">
        <v>107</v>
      </c>
      <c r="P22" s="4" t="s">
        <v>151</v>
      </c>
      <c r="V22" s="1"/>
      <c r="Z22"/>
    </row>
    <row r="23" spans="1:26" x14ac:dyDescent="0.35">
      <c r="A23" s="1" t="s">
        <v>83</v>
      </c>
      <c r="B23" s="1" t="s">
        <v>137</v>
      </c>
      <c r="J23" s="1" t="s">
        <v>3</v>
      </c>
      <c r="K23" s="1" t="s">
        <v>105</v>
      </c>
      <c r="L23" s="4" t="s">
        <v>152</v>
      </c>
      <c r="N23" s="1" t="s">
        <v>3</v>
      </c>
      <c r="O23" s="4" t="s">
        <v>107</v>
      </c>
      <c r="P23" s="4" t="s">
        <v>153</v>
      </c>
      <c r="V23" s="1"/>
      <c r="Z23"/>
    </row>
    <row r="24" spans="1:26" x14ac:dyDescent="0.35">
      <c r="A24" s="1" t="s">
        <v>83</v>
      </c>
      <c r="B24" s="1" t="s">
        <v>154</v>
      </c>
      <c r="J24" s="1" t="s">
        <v>3</v>
      </c>
      <c r="K24" s="1" t="s">
        <v>105</v>
      </c>
      <c r="L24" s="4" t="s">
        <v>155</v>
      </c>
      <c r="N24" s="1" t="s">
        <v>3</v>
      </c>
      <c r="O24" s="4" t="s">
        <v>107</v>
      </c>
      <c r="P24" s="4" t="s">
        <v>156</v>
      </c>
      <c r="V24" s="1"/>
      <c r="Z24"/>
    </row>
    <row r="25" spans="1:26" x14ac:dyDescent="0.35">
      <c r="J25" s="1" t="s">
        <v>3</v>
      </c>
      <c r="K25" s="1" t="s">
        <v>105</v>
      </c>
      <c r="L25" s="4" t="s">
        <v>157</v>
      </c>
      <c r="N25" s="1" t="s">
        <v>3</v>
      </c>
      <c r="O25" s="4" t="s">
        <v>107</v>
      </c>
      <c r="P25" s="4" t="s">
        <v>158</v>
      </c>
      <c r="V25" s="1"/>
      <c r="Z25"/>
    </row>
    <row r="26" spans="1:26" x14ac:dyDescent="0.35">
      <c r="B26" s="3" t="s">
        <v>66</v>
      </c>
      <c r="C26" s="3" t="s">
        <v>83</v>
      </c>
      <c r="D26" s="3" t="s">
        <v>3</v>
      </c>
      <c r="J26" s="1" t="s">
        <v>3</v>
      </c>
      <c r="K26" s="1" t="s">
        <v>105</v>
      </c>
      <c r="L26" s="4" t="s">
        <v>159</v>
      </c>
      <c r="N26" s="1" t="s">
        <v>3</v>
      </c>
      <c r="O26" s="4" t="s">
        <v>115</v>
      </c>
      <c r="P26" s="4" t="s">
        <v>160</v>
      </c>
      <c r="V26" s="1"/>
      <c r="Z26"/>
    </row>
    <row r="27" spans="1:26" x14ac:dyDescent="0.35">
      <c r="A27" s="7" t="s">
        <v>161</v>
      </c>
      <c r="B27" s="3" t="s">
        <v>126</v>
      </c>
      <c r="C27" s="3" t="s">
        <v>126</v>
      </c>
      <c r="D27" s="3" t="s">
        <v>105</v>
      </c>
      <c r="J27" s="1" t="s">
        <v>3</v>
      </c>
      <c r="K27" s="1" t="s">
        <v>105</v>
      </c>
      <c r="L27" s="4" t="s">
        <v>162</v>
      </c>
      <c r="N27" s="1" t="s">
        <v>3</v>
      </c>
      <c r="O27" s="4" t="s">
        <v>115</v>
      </c>
      <c r="P27" s="4" t="s">
        <v>163</v>
      </c>
      <c r="V27" s="1"/>
      <c r="Z27"/>
    </row>
    <row r="28" spans="1:26" x14ac:dyDescent="0.35">
      <c r="B28" s="3" t="s">
        <v>129</v>
      </c>
      <c r="C28" s="3" t="s">
        <v>110</v>
      </c>
      <c r="D28" s="3" t="s">
        <v>110</v>
      </c>
      <c r="J28" s="1" t="s">
        <v>3</v>
      </c>
      <c r="K28" s="1" t="s">
        <v>105</v>
      </c>
      <c r="L28" s="4" t="s">
        <v>164</v>
      </c>
      <c r="N28" s="1" t="s">
        <v>3</v>
      </c>
      <c r="O28" s="4" t="s">
        <v>115</v>
      </c>
      <c r="P28" s="4" t="s">
        <v>165</v>
      </c>
      <c r="V28" s="1"/>
      <c r="Z28"/>
    </row>
    <row r="29" spans="1:26" x14ac:dyDescent="0.35">
      <c r="B29" s="3" t="s">
        <v>132</v>
      </c>
      <c r="C29" s="3" t="s">
        <v>114</v>
      </c>
      <c r="D29" s="3" t="s">
        <v>114</v>
      </c>
      <c r="J29" s="1" t="s">
        <v>3</v>
      </c>
      <c r="K29" s="1" t="s">
        <v>110</v>
      </c>
      <c r="L29" s="4" t="s">
        <v>166</v>
      </c>
      <c r="N29" s="1" t="s">
        <v>3</v>
      </c>
      <c r="O29" s="4" t="s">
        <v>115</v>
      </c>
      <c r="P29" s="4" t="s">
        <v>167</v>
      </c>
      <c r="V29" s="1"/>
      <c r="Z29"/>
    </row>
    <row r="30" spans="1:26" x14ac:dyDescent="0.35">
      <c r="B30" s="3" t="s">
        <v>134</v>
      </c>
      <c r="C30" s="3" t="s">
        <v>149</v>
      </c>
      <c r="D30" s="3" t="s">
        <v>117</v>
      </c>
      <c r="J30" s="1" t="s">
        <v>3</v>
      </c>
      <c r="K30" s="1" t="s">
        <v>110</v>
      </c>
      <c r="L30" s="4" t="s">
        <v>139</v>
      </c>
      <c r="N30" s="1" t="s">
        <v>3</v>
      </c>
      <c r="O30" s="4" t="s">
        <v>115</v>
      </c>
      <c r="P30" s="4" t="s">
        <v>168</v>
      </c>
      <c r="V30" s="1"/>
      <c r="Z30"/>
    </row>
    <row r="31" spans="1:26" x14ac:dyDescent="0.35">
      <c r="B31" s="3" t="s">
        <v>137</v>
      </c>
      <c r="C31" s="3" t="s">
        <v>137</v>
      </c>
      <c r="D31" s="3" t="s">
        <v>120</v>
      </c>
      <c r="J31" s="1" t="s">
        <v>3</v>
      </c>
      <c r="K31" s="1" t="s">
        <v>110</v>
      </c>
      <c r="L31" s="4" t="s">
        <v>169</v>
      </c>
      <c r="N31" s="1" t="s">
        <v>3</v>
      </c>
      <c r="O31" s="4" t="s">
        <v>115</v>
      </c>
      <c r="P31" s="4" t="s">
        <v>170</v>
      </c>
      <c r="V31" s="1"/>
      <c r="Z31"/>
    </row>
    <row r="32" spans="1:26" x14ac:dyDescent="0.35">
      <c r="B32" s="3" t="s">
        <v>141</v>
      </c>
      <c r="C32" s="3" t="s">
        <v>154</v>
      </c>
      <c r="D32" s="3" t="s">
        <v>123</v>
      </c>
      <c r="J32" s="1" t="s">
        <v>3</v>
      </c>
      <c r="K32" s="1" t="s">
        <v>110</v>
      </c>
      <c r="L32" s="4" t="s">
        <v>120</v>
      </c>
      <c r="N32" s="1" t="s">
        <v>3</v>
      </c>
      <c r="O32" s="4" t="s">
        <v>115</v>
      </c>
      <c r="P32" s="4" t="s">
        <v>171</v>
      </c>
      <c r="V32" s="1"/>
      <c r="Z32"/>
    </row>
    <row r="33" spans="1:26" x14ac:dyDescent="0.35">
      <c r="A33" s="8" t="s">
        <v>172</v>
      </c>
      <c r="B33" s="3" t="s">
        <v>862</v>
      </c>
      <c r="C33" s="3" t="s">
        <v>808</v>
      </c>
      <c r="D33" s="3" t="s">
        <v>803</v>
      </c>
      <c r="J33" s="1" t="s">
        <v>3</v>
      </c>
      <c r="K33" s="1" t="s">
        <v>110</v>
      </c>
      <c r="L33" s="4" t="s">
        <v>147</v>
      </c>
      <c r="N33" s="1" t="s">
        <v>3</v>
      </c>
      <c r="O33" s="4" t="s">
        <v>115</v>
      </c>
      <c r="P33" s="4" t="s">
        <v>173</v>
      </c>
      <c r="V33" s="1"/>
      <c r="Z33"/>
    </row>
    <row r="34" spans="1:26" x14ac:dyDescent="0.35">
      <c r="B34" s="3" t="s">
        <v>806</v>
      </c>
      <c r="C34" s="3" t="s">
        <v>810</v>
      </c>
      <c r="D34" s="3" t="s">
        <v>804</v>
      </c>
      <c r="J34" s="1" t="s">
        <v>3</v>
      </c>
      <c r="K34" s="1" t="s">
        <v>110</v>
      </c>
      <c r="L34" s="4" t="s">
        <v>150</v>
      </c>
      <c r="N34" s="1" t="s">
        <v>3</v>
      </c>
      <c r="O34" s="4" t="s">
        <v>115</v>
      </c>
      <c r="P34" s="4" t="s">
        <v>174</v>
      </c>
      <c r="V34" s="1"/>
      <c r="Z34"/>
    </row>
    <row r="35" spans="1:26" x14ac:dyDescent="0.35">
      <c r="B35" s="3" t="s">
        <v>807</v>
      </c>
      <c r="C35" s="3" t="s">
        <v>809</v>
      </c>
      <c r="D35" s="3" t="s">
        <v>805</v>
      </c>
      <c r="J35" s="1" t="s">
        <v>3</v>
      </c>
      <c r="K35" s="1" t="s">
        <v>110</v>
      </c>
      <c r="L35" s="4" t="s">
        <v>152</v>
      </c>
      <c r="N35" s="1" t="s">
        <v>3</v>
      </c>
      <c r="O35" s="4" t="s">
        <v>115</v>
      </c>
      <c r="P35" s="4" t="s">
        <v>175</v>
      </c>
      <c r="V35" s="1"/>
      <c r="Z35"/>
    </row>
    <row r="36" spans="1:26" x14ac:dyDescent="0.35">
      <c r="B36" s="90" t="s">
        <v>894</v>
      </c>
      <c r="C36" s="90" t="s">
        <v>895</v>
      </c>
      <c r="D36" s="90" t="s">
        <v>893</v>
      </c>
      <c r="L36" s="4"/>
      <c r="O36" s="4"/>
      <c r="P36" s="4"/>
      <c r="V36" s="1"/>
      <c r="Z36"/>
    </row>
    <row r="37" spans="1:26" x14ac:dyDescent="0.35">
      <c r="A37" s="7" t="s">
        <v>20</v>
      </c>
      <c r="B37" s="3" t="s">
        <v>176</v>
      </c>
      <c r="C37" s="3" t="s">
        <v>177</v>
      </c>
      <c r="D37" s="3" t="s">
        <v>107</v>
      </c>
      <c r="J37" s="1" t="s">
        <v>3</v>
      </c>
      <c r="K37" s="1" t="s">
        <v>110</v>
      </c>
      <c r="L37" s="4" t="s">
        <v>155</v>
      </c>
      <c r="N37" s="1" t="s">
        <v>3</v>
      </c>
      <c r="O37" s="4" t="s">
        <v>115</v>
      </c>
      <c r="P37" s="4" t="s">
        <v>178</v>
      </c>
      <c r="V37" s="1"/>
      <c r="Z37"/>
    </row>
    <row r="38" spans="1:26" x14ac:dyDescent="0.35">
      <c r="B38" s="3" t="s">
        <v>179</v>
      </c>
      <c r="C38" s="3" t="s">
        <v>180</v>
      </c>
      <c r="D38" s="3" t="s">
        <v>112</v>
      </c>
      <c r="J38" s="1" t="s">
        <v>3</v>
      </c>
      <c r="K38" s="1" t="s">
        <v>110</v>
      </c>
      <c r="L38" s="4" t="s">
        <v>157</v>
      </c>
      <c r="N38" s="1" t="s">
        <v>3</v>
      </c>
      <c r="O38" s="4" t="s">
        <v>112</v>
      </c>
      <c r="P38" s="4" t="s">
        <v>181</v>
      </c>
      <c r="V38" s="1"/>
      <c r="Z38"/>
    </row>
    <row r="39" spans="1:26" x14ac:dyDescent="0.35">
      <c r="B39" s="3" t="s">
        <v>182</v>
      </c>
      <c r="C39" s="3" t="s">
        <v>183</v>
      </c>
      <c r="D39" s="3" t="s">
        <v>115</v>
      </c>
      <c r="J39" s="1" t="s">
        <v>3</v>
      </c>
      <c r="K39" s="1" t="s">
        <v>110</v>
      </c>
      <c r="L39" s="4" t="s">
        <v>159</v>
      </c>
      <c r="N39" s="1" t="s">
        <v>3</v>
      </c>
      <c r="O39" s="4" t="s">
        <v>112</v>
      </c>
      <c r="P39" s="4" t="s">
        <v>184</v>
      </c>
      <c r="V39" s="1"/>
      <c r="Z39"/>
    </row>
    <row r="40" spans="1:26" x14ac:dyDescent="0.35">
      <c r="B40" s="3" t="s">
        <v>185</v>
      </c>
      <c r="C40" s="3" t="s">
        <v>186</v>
      </c>
      <c r="D40" s="3" t="s">
        <v>118</v>
      </c>
      <c r="J40" s="1" t="s">
        <v>3</v>
      </c>
      <c r="K40" s="1" t="s">
        <v>110</v>
      </c>
      <c r="L40" s="4" t="s">
        <v>162</v>
      </c>
      <c r="N40" s="1" t="s">
        <v>3</v>
      </c>
      <c r="O40" s="4" t="s">
        <v>112</v>
      </c>
      <c r="P40" s="4" t="s">
        <v>187</v>
      </c>
      <c r="V40" s="1"/>
      <c r="Z40"/>
    </row>
    <row r="41" spans="1:26" x14ac:dyDescent="0.35">
      <c r="B41" s="3" t="s">
        <v>188</v>
      </c>
      <c r="C41" s="3" t="s">
        <v>189</v>
      </c>
      <c r="D41" s="3" t="s">
        <v>121</v>
      </c>
      <c r="J41" s="1" t="s">
        <v>3</v>
      </c>
      <c r="K41" s="1" t="s">
        <v>110</v>
      </c>
      <c r="L41" s="4" t="s">
        <v>164</v>
      </c>
      <c r="N41" s="1" t="s">
        <v>3</v>
      </c>
      <c r="O41" s="4" t="s">
        <v>112</v>
      </c>
      <c r="P41" s="4" t="s">
        <v>190</v>
      </c>
      <c r="V41" s="1"/>
      <c r="Z41"/>
    </row>
    <row r="42" spans="1:26" x14ac:dyDescent="0.35">
      <c r="B42" s="3" t="s">
        <v>191</v>
      </c>
      <c r="C42" s="3" t="s">
        <v>192</v>
      </c>
      <c r="D42" s="3" t="s">
        <v>124</v>
      </c>
      <c r="J42" s="1" t="s">
        <v>3</v>
      </c>
      <c r="K42" s="1" t="s">
        <v>114</v>
      </c>
      <c r="L42" s="4" t="s">
        <v>193</v>
      </c>
      <c r="N42" s="1" t="s">
        <v>3</v>
      </c>
      <c r="O42" s="4" t="s">
        <v>112</v>
      </c>
      <c r="P42" s="4" t="s">
        <v>194</v>
      </c>
      <c r="V42" s="1"/>
      <c r="Z42"/>
    </row>
    <row r="43" spans="1:26" x14ac:dyDescent="0.35">
      <c r="B43" s="3" t="s">
        <v>195</v>
      </c>
      <c r="C43" s="3" t="s">
        <v>196</v>
      </c>
      <c r="D43" s="3" t="s">
        <v>127</v>
      </c>
      <c r="J43" s="1" t="s">
        <v>3</v>
      </c>
      <c r="K43" s="1" t="s">
        <v>114</v>
      </c>
      <c r="L43" s="4" t="s">
        <v>139</v>
      </c>
      <c r="N43" s="1" t="s">
        <v>3</v>
      </c>
      <c r="O43" s="4" t="s">
        <v>112</v>
      </c>
      <c r="P43" s="4" t="s">
        <v>197</v>
      </c>
      <c r="V43" s="1"/>
      <c r="Z43"/>
    </row>
    <row r="44" spans="1:26" x14ac:dyDescent="0.35">
      <c r="B44" s="3" t="s">
        <v>198</v>
      </c>
      <c r="C44" s="3" t="s">
        <v>199</v>
      </c>
      <c r="D44" s="3" t="s">
        <v>130</v>
      </c>
      <c r="J44" s="1" t="s">
        <v>3</v>
      </c>
      <c r="K44" s="1" t="s">
        <v>114</v>
      </c>
      <c r="L44" s="4" t="s">
        <v>200</v>
      </c>
      <c r="N44" s="1" t="s">
        <v>3</v>
      </c>
      <c r="O44" s="4" t="s">
        <v>112</v>
      </c>
      <c r="P44" s="4" t="s">
        <v>201</v>
      </c>
      <c r="V44" s="1"/>
      <c r="Z44"/>
    </row>
    <row r="45" spans="1:26" x14ac:dyDescent="0.35">
      <c r="B45" s="3" t="s">
        <v>202</v>
      </c>
      <c r="C45" s="3" t="s">
        <v>203</v>
      </c>
      <c r="D45" s="3" t="s">
        <v>108</v>
      </c>
      <c r="J45" s="1" t="s">
        <v>3</v>
      </c>
      <c r="K45" s="1" t="s">
        <v>114</v>
      </c>
      <c r="L45" s="4" t="s">
        <v>204</v>
      </c>
      <c r="N45" s="1" t="s">
        <v>3</v>
      </c>
      <c r="O45" s="4" t="s">
        <v>112</v>
      </c>
      <c r="P45" s="4" t="s">
        <v>205</v>
      </c>
      <c r="V45" s="1"/>
      <c r="Z45"/>
    </row>
    <row r="46" spans="1:26" x14ac:dyDescent="0.35">
      <c r="B46" s="3" t="s">
        <v>206</v>
      </c>
      <c r="C46" s="3" t="s">
        <v>207</v>
      </c>
      <c r="D46" s="3" t="s">
        <v>135</v>
      </c>
      <c r="J46" s="1" t="s">
        <v>3</v>
      </c>
      <c r="K46" s="1" t="s">
        <v>114</v>
      </c>
      <c r="L46" s="4" t="s">
        <v>147</v>
      </c>
      <c r="N46" s="1" t="s">
        <v>3</v>
      </c>
      <c r="O46" s="4" t="s">
        <v>112</v>
      </c>
      <c r="P46" s="4" t="s">
        <v>208</v>
      </c>
      <c r="V46" s="1"/>
      <c r="Z46"/>
    </row>
    <row r="47" spans="1:26" x14ac:dyDescent="0.35">
      <c r="B47" s="3" t="s">
        <v>209</v>
      </c>
      <c r="C47" s="3" t="s">
        <v>210</v>
      </c>
      <c r="D47" s="3" t="s">
        <v>139</v>
      </c>
      <c r="J47" s="1" t="s">
        <v>3</v>
      </c>
      <c r="K47" s="1" t="s">
        <v>114</v>
      </c>
      <c r="L47" s="4" t="s">
        <v>150</v>
      </c>
      <c r="N47" s="1" t="s">
        <v>3</v>
      </c>
      <c r="O47" s="4" t="s">
        <v>112</v>
      </c>
      <c r="P47" s="4" t="s">
        <v>211</v>
      </c>
      <c r="V47" s="1"/>
      <c r="Z47"/>
    </row>
    <row r="48" spans="1:26" x14ac:dyDescent="0.35">
      <c r="B48" s="3" t="s">
        <v>212</v>
      </c>
      <c r="C48" s="3" t="s">
        <v>213</v>
      </c>
      <c r="D48" s="3" t="s">
        <v>142</v>
      </c>
      <c r="J48" s="1" t="s">
        <v>3</v>
      </c>
      <c r="K48" s="1" t="s">
        <v>114</v>
      </c>
      <c r="L48" s="4" t="s">
        <v>152</v>
      </c>
      <c r="N48" s="1" t="s">
        <v>3</v>
      </c>
      <c r="O48" s="4" t="s">
        <v>112</v>
      </c>
      <c r="P48" s="4" t="s">
        <v>214</v>
      </c>
      <c r="V48" s="1"/>
      <c r="Z48"/>
    </row>
    <row r="49" spans="1:26" x14ac:dyDescent="0.35">
      <c r="B49" s="3" t="s">
        <v>137</v>
      </c>
      <c r="C49" s="3" t="s">
        <v>137</v>
      </c>
      <c r="D49" s="3" t="s">
        <v>120</v>
      </c>
      <c r="J49" s="1" t="s">
        <v>3</v>
      </c>
      <c r="K49" s="1" t="s">
        <v>114</v>
      </c>
      <c r="L49" s="4" t="s">
        <v>155</v>
      </c>
      <c r="N49" s="1" t="s">
        <v>3</v>
      </c>
      <c r="O49" s="4" t="s">
        <v>112</v>
      </c>
      <c r="P49" s="4" t="s">
        <v>215</v>
      </c>
      <c r="V49" s="1"/>
      <c r="Z49"/>
    </row>
    <row r="50" spans="1:26" x14ac:dyDescent="0.35">
      <c r="B50" s="3" t="s">
        <v>216</v>
      </c>
      <c r="C50" s="3" t="s">
        <v>217</v>
      </c>
      <c r="D50" s="3" t="s">
        <v>145</v>
      </c>
      <c r="J50" s="1" t="s">
        <v>3</v>
      </c>
      <c r="K50" s="1" t="s">
        <v>114</v>
      </c>
      <c r="L50" s="4" t="s">
        <v>157</v>
      </c>
      <c r="N50" s="1" t="s">
        <v>3</v>
      </c>
      <c r="O50" s="4" t="s">
        <v>118</v>
      </c>
      <c r="P50" s="4" t="s">
        <v>218</v>
      </c>
      <c r="V50" s="1"/>
      <c r="Z50"/>
    </row>
    <row r="51" spans="1:26" x14ac:dyDescent="0.35">
      <c r="B51" s="3" t="s">
        <v>219</v>
      </c>
      <c r="C51" s="3" t="s">
        <v>220</v>
      </c>
      <c r="D51" s="3" t="s">
        <v>147</v>
      </c>
      <c r="J51" s="1" t="s">
        <v>3</v>
      </c>
      <c r="K51" s="1" t="s">
        <v>114</v>
      </c>
      <c r="L51" s="4" t="s">
        <v>159</v>
      </c>
      <c r="N51" s="1" t="s">
        <v>3</v>
      </c>
      <c r="O51" s="4" t="s">
        <v>118</v>
      </c>
      <c r="P51" s="4" t="s">
        <v>221</v>
      </c>
      <c r="V51" s="1"/>
      <c r="Z51"/>
    </row>
    <row r="52" spans="1:26" x14ac:dyDescent="0.35">
      <c r="B52" s="3" t="s">
        <v>222</v>
      </c>
      <c r="C52" s="3" t="s">
        <v>223</v>
      </c>
      <c r="D52" s="3" t="s">
        <v>150</v>
      </c>
      <c r="J52" s="1" t="s">
        <v>3</v>
      </c>
      <c r="K52" s="1" t="s">
        <v>114</v>
      </c>
      <c r="L52" s="4" t="s">
        <v>162</v>
      </c>
      <c r="N52" s="1" t="s">
        <v>3</v>
      </c>
      <c r="O52" s="4" t="s">
        <v>118</v>
      </c>
      <c r="P52" s="4" t="s">
        <v>224</v>
      </c>
      <c r="V52" s="1"/>
      <c r="Z52"/>
    </row>
    <row r="53" spans="1:26" x14ac:dyDescent="0.35">
      <c r="B53" s="3" t="s">
        <v>225</v>
      </c>
      <c r="C53" s="3" t="s">
        <v>226</v>
      </c>
      <c r="D53" s="3" t="s">
        <v>152</v>
      </c>
      <c r="J53" s="1" t="s">
        <v>3</v>
      </c>
      <c r="K53" s="1" t="s">
        <v>114</v>
      </c>
      <c r="L53" s="4" t="s">
        <v>164</v>
      </c>
      <c r="N53" s="1" t="s">
        <v>3</v>
      </c>
      <c r="O53" s="4" t="s">
        <v>118</v>
      </c>
      <c r="P53" s="4" t="s">
        <v>227</v>
      </c>
      <c r="V53" s="1"/>
      <c r="Z53"/>
    </row>
    <row r="54" spans="1:26" x14ac:dyDescent="0.35">
      <c r="B54" s="3" t="s">
        <v>228</v>
      </c>
      <c r="C54" s="3" t="s">
        <v>229</v>
      </c>
      <c r="D54" s="3" t="s">
        <v>155</v>
      </c>
      <c r="J54" s="1" t="s">
        <v>3</v>
      </c>
      <c r="K54" s="1" t="s">
        <v>120</v>
      </c>
      <c r="L54" s="4" t="s">
        <v>107</v>
      </c>
      <c r="N54" s="1" t="s">
        <v>3</v>
      </c>
      <c r="O54" s="4" t="s">
        <v>118</v>
      </c>
      <c r="P54" s="4" t="s">
        <v>230</v>
      </c>
      <c r="V54" s="1"/>
      <c r="Z54"/>
    </row>
    <row r="55" spans="1:26" x14ac:dyDescent="0.35">
      <c r="B55" s="3" t="s">
        <v>231</v>
      </c>
      <c r="C55" s="3" t="s">
        <v>232</v>
      </c>
      <c r="D55" s="3" t="s">
        <v>157</v>
      </c>
      <c r="J55" s="1" t="s">
        <v>3</v>
      </c>
      <c r="K55" s="1" t="s">
        <v>120</v>
      </c>
      <c r="L55" s="4" t="s">
        <v>112</v>
      </c>
      <c r="N55" s="1" t="s">
        <v>3</v>
      </c>
      <c r="O55" s="4" t="s">
        <v>118</v>
      </c>
      <c r="P55" s="4" t="s">
        <v>233</v>
      </c>
      <c r="V55" s="1"/>
      <c r="Z55"/>
    </row>
    <row r="56" spans="1:26" x14ac:dyDescent="0.35">
      <c r="B56" s="3" t="s">
        <v>234</v>
      </c>
      <c r="C56" s="3" t="s">
        <v>235</v>
      </c>
      <c r="D56" s="3" t="s">
        <v>159</v>
      </c>
      <c r="J56" s="1" t="s">
        <v>3</v>
      </c>
      <c r="K56" s="1" t="s">
        <v>120</v>
      </c>
      <c r="L56" s="4" t="s">
        <v>115</v>
      </c>
      <c r="N56" s="1" t="s">
        <v>3</v>
      </c>
      <c r="O56" s="4" t="s">
        <v>118</v>
      </c>
      <c r="P56" s="4" t="s">
        <v>236</v>
      </c>
      <c r="V56" s="1"/>
      <c r="Z56"/>
    </row>
    <row r="57" spans="1:26" x14ac:dyDescent="0.35">
      <c r="B57" s="3" t="s">
        <v>237</v>
      </c>
      <c r="C57" s="3" t="s">
        <v>238</v>
      </c>
      <c r="D57" s="3" t="s">
        <v>162</v>
      </c>
      <c r="J57" s="1" t="s">
        <v>3</v>
      </c>
      <c r="K57" s="1" t="s">
        <v>120</v>
      </c>
      <c r="L57" s="4" t="s">
        <v>118</v>
      </c>
      <c r="N57" s="1" t="s">
        <v>3</v>
      </c>
      <c r="O57" s="4" t="s">
        <v>118</v>
      </c>
      <c r="P57" s="4" t="s">
        <v>239</v>
      </c>
      <c r="V57" s="1"/>
      <c r="Z57"/>
    </row>
    <row r="58" spans="1:26" x14ac:dyDescent="0.35">
      <c r="B58" s="3" t="s">
        <v>240</v>
      </c>
      <c r="C58" s="3" t="s">
        <v>241</v>
      </c>
      <c r="D58" s="3" t="s">
        <v>164</v>
      </c>
      <c r="J58" s="1" t="s">
        <v>3</v>
      </c>
      <c r="K58" s="1" t="s">
        <v>120</v>
      </c>
      <c r="L58" s="4" t="s">
        <v>121</v>
      </c>
      <c r="N58" s="1" t="s">
        <v>3</v>
      </c>
      <c r="O58" s="4" t="s">
        <v>118</v>
      </c>
      <c r="P58" s="4" t="s">
        <v>242</v>
      </c>
      <c r="V58" s="1"/>
      <c r="Z58"/>
    </row>
    <row r="59" spans="1:26" x14ac:dyDescent="0.35">
      <c r="B59" s="3" t="s">
        <v>243</v>
      </c>
      <c r="C59" s="3" t="s">
        <v>244</v>
      </c>
      <c r="D59" s="3" t="s">
        <v>166</v>
      </c>
      <c r="J59" s="1" t="s">
        <v>3</v>
      </c>
      <c r="K59" s="1" t="s">
        <v>120</v>
      </c>
      <c r="L59" s="4" t="s">
        <v>124</v>
      </c>
      <c r="N59" s="1" t="s">
        <v>3</v>
      </c>
      <c r="O59" s="4" t="s">
        <v>118</v>
      </c>
      <c r="P59" s="4" t="s">
        <v>245</v>
      </c>
      <c r="V59" s="1"/>
      <c r="Z59"/>
    </row>
    <row r="60" spans="1:26" x14ac:dyDescent="0.35">
      <c r="B60" s="9" t="s">
        <v>246</v>
      </c>
      <c r="C60" s="3" t="s">
        <v>247</v>
      </c>
      <c r="D60" s="3" t="s">
        <v>169</v>
      </c>
      <c r="J60" s="1" t="s">
        <v>3</v>
      </c>
      <c r="K60" s="1" t="s">
        <v>120</v>
      </c>
      <c r="L60" s="4" t="s">
        <v>166</v>
      </c>
      <c r="N60" s="1" t="s">
        <v>3</v>
      </c>
      <c r="O60" s="4" t="s">
        <v>118</v>
      </c>
      <c r="P60" s="4" t="s">
        <v>248</v>
      </c>
      <c r="V60" s="1"/>
      <c r="Z60"/>
    </row>
    <row r="61" spans="1:26" x14ac:dyDescent="0.35">
      <c r="B61" s="9" t="s">
        <v>249</v>
      </c>
      <c r="C61" s="3" t="s">
        <v>250</v>
      </c>
      <c r="D61" s="3" t="s">
        <v>193</v>
      </c>
      <c r="J61" s="1" t="s">
        <v>3</v>
      </c>
      <c r="K61" s="1" t="s">
        <v>120</v>
      </c>
      <c r="L61" s="4" t="s">
        <v>127</v>
      </c>
      <c r="N61" s="1" t="s">
        <v>3</v>
      </c>
      <c r="O61" s="4" t="s">
        <v>121</v>
      </c>
      <c r="P61" s="4" t="s">
        <v>251</v>
      </c>
      <c r="V61" s="1"/>
      <c r="Z61"/>
    </row>
    <row r="62" spans="1:26" x14ac:dyDescent="0.35">
      <c r="B62" s="9" t="s">
        <v>252</v>
      </c>
      <c r="C62" s="3" t="s">
        <v>253</v>
      </c>
      <c r="D62" s="3" t="s">
        <v>200</v>
      </c>
      <c r="J62" s="1" t="s">
        <v>3</v>
      </c>
      <c r="K62" s="1" t="s">
        <v>120</v>
      </c>
      <c r="L62" s="4" t="s">
        <v>130</v>
      </c>
      <c r="N62" s="1" t="s">
        <v>3</v>
      </c>
      <c r="O62" s="4" t="s">
        <v>121</v>
      </c>
      <c r="P62" s="4" t="s">
        <v>254</v>
      </c>
      <c r="V62" s="1"/>
      <c r="Z62"/>
    </row>
    <row r="63" spans="1:26" x14ac:dyDescent="0.35">
      <c r="B63" s="9" t="s">
        <v>255</v>
      </c>
      <c r="C63" s="3" t="s">
        <v>256</v>
      </c>
      <c r="D63" s="3" t="s">
        <v>204</v>
      </c>
      <c r="J63" s="1" t="s">
        <v>3</v>
      </c>
      <c r="K63" s="1" t="s">
        <v>120</v>
      </c>
      <c r="L63" s="4" t="s">
        <v>108</v>
      </c>
      <c r="N63" s="1" t="s">
        <v>3</v>
      </c>
      <c r="O63" s="4" t="s">
        <v>121</v>
      </c>
      <c r="P63" s="4" t="s">
        <v>257</v>
      </c>
      <c r="V63" s="1"/>
      <c r="Z63"/>
    </row>
    <row r="64" spans="1:26" x14ac:dyDescent="0.35">
      <c r="A64" s="7" t="s">
        <v>32</v>
      </c>
      <c r="B64" s="3" t="s">
        <v>258</v>
      </c>
      <c r="C64" s="3" t="s">
        <v>259</v>
      </c>
      <c r="D64" s="3" t="s">
        <v>109</v>
      </c>
      <c r="J64" s="1" t="s">
        <v>3</v>
      </c>
      <c r="K64" s="1" t="s">
        <v>120</v>
      </c>
      <c r="L64" s="4" t="s">
        <v>135</v>
      </c>
      <c r="N64" s="1" t="s">
        <v>3</v>
      </c>
      <c r="O64" s="4" t="s">
        <v>121</v>
      </c>
      <c r="P64" s="4" t="s">
        <v>260</v>
      </c>
      <c r="V64" s="1"/>
      <c r="Z64"/>
    </row>
    <row r="65" spans="2:26" x14ac:dyDescent="0.35">
      <c r="B65" s="3" t="s">
        <v>261</v>
      </c>
      <c r="C65" s="3" t="s">
        <v>262</v>
      </c>
      <c r="D65" s="3" t="s">
        <v>113</v>
      </c>
      <c r="J65" s="1" t="s">
        <v>3</v>
      </c>
      <c r="K65" s="1" t="s">
        <v>120</v>
      </c>
      <c r="L65" s="4" t="s">
        <v>139</v>
      </c>
      <c r="N65" s="1" t="s">
        <v>3</v>
      </c>
      <c r="O65" s="4" t="s">
        <v>121</v>
      </c>
      <c r="P65" s="4" t="s">
        <v>263</v>
      </c>
      <c r="V65" s="1"/>
      <c r="Z65"/>
    </row>
    <row r="66" spans="2:26" x14ac:dyDescent="0.35">
      <c r="B66" s="3" t="s">
        <v>264</v>
      </c>
      <c r="C66" s="3" t="s">
        <v>265</v>
      </c>
      <c r="D66" s="3" t="s">
        <v>116</v>
      </c>
      <c r="J66" s="1" t="s">
        <v>3</v>
      </c>
      <c r="K66" s="1" t="s">
        <v>120</v>
      </c>
      <c r="L66" s="4" t="s">
        <v>142</v>
      </c>
      <c r="N66" s="1" t="s">
        <v>3</v>
      </c>
      <c r="O66" s="4" t="s">
        <v>121</v>
      </c>
      <c r="P66" s="4" t="s">
        <v>266</v>
      </c>
      <c r="V66" s="1"/>
      <c r="Z66"/>
    </row>
    <row r="67" spans="2:26" x14ac:dyDescent="0.35">
      <c r="B67" s="3" t="s">
        <v>267</v>
      </c>
      <c r="C67" s="3" t="s">
        <v>268</v>
      </c>
      <c r="D67" s="3" t="s">
        <v>119</v>
      </c>
      <c r="J67" s="1" t="s">
        <v>3</v>
      </c>
      <c r="K67" s="1" t="s">
        <v>120</v>
      </c>
      <c r="L67" s="4" t="s">
        <v>169</v>
      </c>
      <c r="N67" s="1" t="s">
        <v>3</v>
      </c>
      <c r="O67" s="4" t="s">
        <v>121</v>
      </c>
      <c r="P67" s="4" t="s">
        <v>269</v>
      </c>
      <c r="V67" s="1"/>
      <c r="Z67"/>
    </row>
    <row r="68" spans="2:26" x14ac:dyDescent="0.35">
      <c r="B68" s="3" t="s">
        <v>270</v>
      </c>
      <c r="C68" s="3" t="s">
        <v>271</v>
      </c>
      <c r="D68" s="3" t="s">
        <v>122</v>
      </c>
      <c r="J68" s="1" t="s">
        <v>3</v>
      </c>
      <c r="K68" s="1" t="s">
        <v>120</v>
      </c>
      <c r="L68" s="4" t="s">
        <v>120</v>
      </c>
      <c r="N68" s="1" t="s">
        <v>3</v>
      </c>
      <c r="O68" s="4" t="s">
        <v>121</v>
      </c>
      <c r="P68" s="4" t="s">
        <v>272</v>
      </c>
      <c r="V68" s="1"/>
      <c r="Z68"/>
    </row>
    <row r="69" spans="2:26" x14ac:dyDescent="0.35">
      <c r="B69" s="3" t="s">
        <v>273</v>
      </c>
      <c r="C69" s="3" t="s">
        <v>274</v>
      </c>
      <c r="D69" s="3" t="s">
        <v>125</v>
      </c>
      <c r="J69" s="1" t="s">
        <v>3</v>
      </c>
      <c r="K69" s="1" t="s">
        <v>120</v>
      </c>
      <c r="L69" s="4" t="s">
        <v>145</v>
      </c>
      <c r="N69" s="1" t="s">
        <v>3</v>
      </c>
      <c r="O69" s="4" t="s">
        <v>121</v>
      </c>
      <c r="P69" s="4" t="s">
        <v>275</v>
      </c>
      <c r="V69" s="1"/>
      <c r="Z69"/>
    </row>
    <row r="70" spans="2:26" x14ac:dyDescent="0.35">
      <c r="B70" s="3" t="s">
        <v>276</v>
      </c>
      <c r="C70" s="3" t="s">
        <v>277</v>
      </c>
      <c r="D70" s="3" t="s">
        <v>128</v>
      </c>
      <c r="J70" s="1" t="s">
        <v>3</v>
      </c>
      <c r="K70" s="1" t="s">
        <v>120</v>
      </c>
      <c r="L70" s="4" t="s">
        <v>147</v>
      </c>
      <c r="N70" s="1" t="s">
        <v>3</v>
      </c>
      <c r="O70" s="4" t="s">
        <v>121</v>
      </c>
      <c r="P70" s="4" t="s">
        <v>278</v>
      </c>
      <c r="V70" s="1"/>
      <c r="Z70"/>
    </row>
    <row r="71" spans="2:26" x14ac:dyDescent="0.35">
      <c r="B71" s="3" t="s">
        <v>279</v>
      </c>
      <c r="C71" s="3" t="s">
        <v>280</v>
      </c>
      <c r="D71" s="3" t="s">
        <v>131</v>
      </c>
      <c r="J71" s="1" t="s">
        <v>3</v>
      </c>
      <c r="K71" s="1" t="s">
        <v>120</v>
      </c>
      <c r="L71" s="4" t="s">
        <v>150</v>
      </c>
      <c r="N71" s="1" t="s">
        <v>3</v>
      </c>
      <c r="O71" s="4" t="s">
        <v>135</v>
      </c>
      <c r="P71" s="4" t="s">
        <v>281</v>
      </c>
      <c r="V71" s="1"/>
      <c r="Z71"/>
    </row>
    <row r="72" spans="2:26" x14ac:dyDescent="0.35">
      <c r="B72" s="3" t="s">
        <v>282</v>
      </c>
      <c r="C72" s="3" t="s">
        <v>283</v>
      </c>
      <c r="D72" s="3" t="s">
        <v>133</v>
      </c>
      <c r="J72" s="1" t="s">
        <v>3</v>
      </c>
      <c r="K72" s="1" t="s">
        <v>120</v>
      </c>
      <c r="L72" s="4" t="s">
        <v>152</v>
      </c>
      <c r="N72" s="1" t="s">
        <v>3</v>
      </c>
      <c r="O72" s="4" t="s">
        <v>135</v>
      </c>
      <c r="P72" s="4" t="s">
        <v>284</v>
      </c>
      <c r="V72" s="1"/>
      <c r="Z72"/>
    </row>
    <row r="73" spans="2:26" x14ac:dyDescent="0.35">
      <c r="B73" s="3" t="s">
        <v>282</v>
      </c>
      <c r="C73" s="3" t="s">
        <v>285</v>
      </c>
      <c r="D73" s="3" t="s">
        <v>136</v>
      </c>
      <c r="J73" s="1" t="s">
        <v>3</v>
      </c>
      <c r="K73" s="1" t="s">
        <v>120</v>
      </c>
      <c r="L73" s="4" t="s">
        <v>155</v>
      </c>
      <c r="N73" s="1" t="s">
        <v>3</v>
      </c>
      <c r="O73" s="4" t="s">
        <v>135</v>
      </c>
      <c r="P73" s="4" t="s">
        <v>286</v>
      </c>
      <c r="V73" s="1"/>
      <c r="Z73"/>
    </row>
    <row r="74" spans="2:26" x14ac:dyDescent="0.35">
      <c r="B74" s="3" t="s">
        <v>287</v>
      </c>
      <c r="C74" s="3" t="s">
        <v>288</v>
      </c>
      <c r="D74" s="3" t="s">
        <v>140</v>
      </c>
      <c r="J74" s="1" t="s">
        <v>3</v>
      </c>
      <c r="K74" s="1" t="s">
        <v>120</v>
      </c>
      <c r="L74" s="4" t="s">
        <v>157</v>
      </c>
      <c r="N74" s="1" t="s">
        <v>3</v>
      </c>
      <c r="O74" s="4" t="s">
        <v>135</v>
      </c>
      <c r="P74" s="4" t="s">
        <v>289</v>
      </c>
      <c r="V74" s="1"/>
      <c r="Z74"/>
    </row>
    <row r="75" spans="2:26" x14ac:dyDescent="0.35">
      <c r="B75" s="3" t="s">
        <v>290</v>
      </c>
      <c r="C75" s="3" t="s">
        <v>291</v>
      </c>
      <c r="D75" s="3" t="s">
        <v>143</v>
      </c>
      <c r="J75" s="1" t="s">
        <v>3</v>
      </c>
      <c r="K75" s="1" t="s">
        <v>120</v>
      </c>
      <c r="L75" s="4" t="s">
        <v>159</v>
      </c>
      <c r="N75" s="1" t="s">
        <v>3</v>
      </c>
      <c r="O75" s="4" t="s">
        <v>135</v>
      </c>
      <c r="P75" s="4" t="s">
        <v>292</v>
      </c>
      <c r="V75" s="1"/>
      <c r="Z75"/>
    </row>
    <row r="76" spans="2:26" x14ac:dyDescent="0.35">
      <c r="B76" s="3" t="s">
        <v>293</v>
      </c>
      <c r="C76" s="3" t="s">
        <v>294</v>
      </c>
      <c r="D76" s="3" t="s">
        <v>144</v>
      </c>
      <c r="J76" s="1" t="s">
        <v>3</v>
      </c>
      <c r="K76" s="1" t="s">
        <v>120</v>
      </c>
      <c r="L76" s="4" t="s">
        <v>162</v>
      </c>
      <c r="N76" s="1" t="s">
        <v>3</v>
      </c>
      <c r="O76" s="4" t="s">
        <v>130</v>
      </c>
      <c r="P76" s="4" t="s">
        <v>295</v>
      </c>
      <c r="V76" s="1"/>
      <c r="Z76"/>
    </row>
    <row r="77" spans="2:26" x14ac:dyDescent="0.35">
      <c r="B77" s="3" t="s">
        <v>296</v>
      </c>
      <c r="C77" s="3" t="s">
        <v>297</v>
      </c>
      <c r="D77" s="3" t="s">
        <v>146</v>
      </c>
      <c r="J77" s="1" t="s">
        <v>3</v>
      </c>
      <c r="K77" s="1" t="s">
        <v>120</v>
      </c>
      <c r="L77" s="4" t="s">
        <v>164</v>
      </c>
      <c r="N77" s="1" t="s">
        <v>3</v>
      </c>
      <c r="O77" s="4" t="s">
        <v>130</v>
      </c>
      <c r="P77" s="4" t="s">
        <v>298</v>
      </c>
      <c r="V77" s="1"/>
      <c r="Z77"/>
    </row>
    <row r="78" spans="2:26" x14ac:dyDescent="0.35">
      <c r="B78" s="3" t="s">
        <v>299</v>
      </c>
      <c r="C78" s="3" t="s">
        <v>300</v>
      </c>
      <c r="D78" s="3" t="s">
        <v>148</v>
      </c>
      <c r="J78" s="1" t="s">
        <v>3</v>
      </c>
      <c r="K78" s="1" t="s">
        <v>123</v>
      </c>
      <c r="L78" s="4" t="s">
        <v>193</v>
      </c>
      <c r="N78" s="1" t="s">
        <v>3</v>
      </c>
      <c r="O78" s="4" t="s">
        <v>130</v>
      </c>
      <c r="P78" s="4" t="s">
        <v>301</v>
      </c>
      <c r="V78" s="1"/>
      <c r="Z78"/>
    </row>
    <row r="79" spans="2:26" x14ac:dyDescent="0.35">
      <c r="B79" s="3" t="s">
        <v>302</v>
      </c>
      <c r="C79" s="3" t="s">
        <v>303</v>
      </c>
      <c r="D79" s="3" t="s">
        <v>151</v>
      </c>
      <c r="J79" s="1" t="s">
        <v>3</v>
      </c>
      <c r="K79" s="1" t="s">
        <v>123</v>
      </c>
      <c r="L79" s="4" t="s">
        <v>107</v>
      </c>
      <c r="N79" s="1" t="s">
        <v>3</v>
      </c>
      <c r="O79" s="4" t="s">
        <v>130</v>
      </c>
      <c r="P79" s="4" t="s">
        <v>304</v>
      </c>
      <c r="V79" s="1"/>
      <c r="Z79"/>
    </row>
    <row r="80" spans="2:26" x14ac:dyDescent="0.35">
      <c r="B80" s="3" t="s">
        <v>305</v>
      </c>
      <c r="C80" s="3" t="s">
        <v>306</v>
      </c>
      <c r="D80" s="3" t="s">
        <v>153</v>
      </c>
      <c r="J80" s="1" t="s">
        <v>3</v>
      </c>
      <c r="K80" s="1" t="s">
        <v>123</v>
      </c>
      <c r="L80" s="4" t="s">
        <v>112</v>
      </c>
      <c r="N80" s="1" t="s">
        <v>3</v>
      </c>
      <c r="O80" s="4" t="s">
        <v>130</v>
      </c>
      <c r="P80" s="4" t="s">
        <v>307</v>
      </c>
      <c r="V80" s="1"/>
      <c r="Z80"/>
    </row>
    <row r="81" spans="2:26" x14ac:dyDescent="0.35">
      <c r="B81" s="3" t="s">
        <v>308</v>
      </c>
      <c r="C81" s="3" t="s">
        <v>309</v>
      </c>
      <c r="D81" s="3" t="s">
        <v>156</v>
      </c>
      <c r="J81" s="1" t="s">
        <v>3</v>
      </c>
      <c r="K81" s="1" t="s">
        <v>123</v>
      </c>
      <c r="L81" s="4" t="s">
        <v>115</v>
      </c>
      <c r="N81" s="1" t="s">
        <v>3</v>
      </c>
      <c r="O81" s="4" t="s">
        <v>130</v>
      </c>
      <c r="P81" s="4" t="s">
        <v>310</v>
      </c>
      <c r="V81" s="1"/>
      <c r="Z81"/>
    </row>
    <row r="82" spans="2:26" x14ac:dyDescent="0.35">
      <c r="B82" s="3" t="s">
        <v>311</v>
      </c>
      <c r="C82" s="3" t="s">
        <v>312</v>
      </c>
      <c r="D82" s="3" t="s">
        <v>158</v>
      </c>
      <c r="J82" s="1" t="s">
        <v>3</v>
      </c>
      <c r="K82" s="1" t="s">
        <v>123</v>
      </c>
      <c r="L82" s="4" t="s">
        <v>118</v>
      </c>
      <c r="N82" s="1" t="s">
        <v>3</v>
      </c>
      <c r="O82" s="4" t="s">
        <v>130</v>
      </c>
      <c r="P82" s="4" t="s">
        <v>313</v>
      </c>
      <c r="V82" s="1"/>
      <c r="Z82"/>
    </row>
    <row r="83" spans="2:26" x14ac:dyDescent="0.35">
      <c r="B83" s="3" t="s">
        <v>314</v>
      </c>
      <c r="C83" s="3" t="s">
        <v>315</v>
      </c>
      <c r="D83" s="3" t="s">
        <v>160</v>
      </c>
      <c r="J83" s="1" t="s">
        <v>3</v>
      </c>
      <c r="K83" s="1" t="s">
        <v>123</v>
      </c>
      <c r="L83" s="4" t="s">
        <v>121</v>
      </c>
      <c r="N83" s="1" t="s">
        <v>3</v>
      </c>
      <c r="O83" s="4" t="s">
        <v>130</v>
      </c>
      <c r="P83" s="4" t="s">
        <v>316</v>
      </c>
      <c r="V83" s="1"/>
      <c r="Z83"/>
    </row>
    <row r="84" spans="2:26" x14ac:dyDescent="0.35">
      <c r="B84" s="3" t="s">
        <v>317</v>
      </c>
      <c r="C84" s="3" t="s">
        <v>318</v>
      </c>
      <c r="D84" s="3" t="s">
        <v>163</v>
      </c>
      <c r="J84" s="1" t="s">
        <v>3</v>
      </c>
      <c r="K84" s="1" t="s">
        <v>123</v>
      </c>
      <c r="L84" s="4" t="s">
        <v>124</v>
      </c>
      <c r="N84" s="1" t="s">
        <v>3</v>
      </c>
      <c r="O84" s="4" t="s">
        <v>130</v>
      </c>
      <c r="P84" s="4" t="s">
        <v>125</v>
      </c>
      <c r="V84" s="1"/>
      <c r="Z84"/>
    </row>
    <row r="85" spans="2:26" x14ac:dyDescent="0.35">
      <c r="B85" s="3" t="s">
        <v>319</v>
      </c>
      <c r="C85" s="3" t="s">
        <v>320</v>
      </c>
      <c r="D85" s="3" t="s">
        <v>165</v>
      </c>
      <c r="J85" s="1" t="s">
        <v>3</v>
      </c>
      <c r="K85" s="1" t="s">
        <v>123</v>
      </c>
      <c r="L85" s="4" t="s">
        <v>166</v>
      </c>
      <c r="N85" s="1" t="s">
        <v>3</v>
      </c>
      <c r="O85" s="4" t="s">
        <v>130</v>
      </c>
      <c r="P85" s="4" t="s">
        <v>321</v>
      </c>
      <c r="V85" s="1"/>
      <c r="Z85"/>
    </row>
    <row r="86" spans="2:26" x14ac:dyDescent="0.35">
      <c r="B86" s="3" t="s">
        <v>322</v>
      </c>
      <c r="C86" s="3" t="s">
        <v>323</v>
      </c>
      <c r="D86" s="3" t="s">
        <v>167</v>
      </c>
      <c r="J86" s="1" t="s">
        <v>3</v>
      </c>
      <c r="K86" s="1" t="s">
        <v>123</v>
      </c>
      <c r="L86" s="4" t="s">
        <v>127</v>
      </c>
      <c r="N86" s="1" t="s">
        <v>3</v>
      </c>
      <c r="O86" s="4" t="s">
        <v>130</v>
      </c>
      <c r="P86" s="4" t="s">
        <v>324</v>
      </c>
      <c r="V86" s="1"/>
      <c r="Z86"/>
    </row>
    <row r="87" spans="2:26" x14ac:dyDescent="0.35">
      <c r="B87" s="3" t="s">
        <v>325</v>
      </c>
      <c r="C87" s="3" t="s">
        <v>326</v>
      </c>
      <c r="D87" s="3" t="s">
        <v>168</v>
      </c>
      <c r="J87" s="1" t="s">
        <v>3</v>
      </c>
      <c r="K87" s="1" t="s">
        <v>123</v>
      </c>
      <c r="L87" s="4" t="s">
        <v>130</v>
      </c>
      <c r="N87" s="1" t="s">
        <v>3</v>
      </c>
      <c r="O87" s="4" t="s">
        <v>127</v>
      </c>
      <c r="P87" s="4" t="s">
        <v>327</v>
      </c>
      <c r="V87" s="1"/>
      <c r="Z87"/>
    </row>
    <row r="88" spans="2:26" x14ac:dyDescent="0.35">
      <c r="B88" s="3" t="s">
        <v>328</v>
      </c>
      <c r="C88" s="3" t="s">
        <v>329</v>
      </c>
      <c r="D88" s="3" t="s">
        <v>170</v>
      </c>
      <c r="J88" s="1" t="s">
        <v>3</v>
      </c>
      <c r="K88" s="1" t="s">
        <v>123</v>
      </c>
      <c r="L88" s="4" t="s">
        <v>108</v>
      </c>
      <c r="N88" s="1" t="s">
        <v>3</v>
      </c>
      <c r="O88" s="4" t="s">
        <v>127</v>
      </c>
      <c r="P88" s="4" t="s">
        <v>330</v>
      </c>
      <c r="V88" s="1"/>
      <c r="Z88"/>
    </row>
    <row r="89" spans="2:26" x14ac:dyDescent="0.35">
      <c r="B89" s="3" t="s">
        <v>331</v>
      </c>
      <c r="C89" s="3" t="s">
        <v>332</v>
      </c>
      <c r="D89" s="3" t="s">
        <v>171</v>
      </c>
      <c r="J89" s="1" t="s">
        <v>3</v>
      </c>
      <c r="K89" s="1" t="s">
        <v>123</v>
      </c>
      <c r="L89" s="4" t="s">
        <v>135</v>
      </c>
      <c r="N89" s="1" t="s">
        <v>3</v>
      </c>
      <c r="O89" s="4" t="s">
        <v>127</v>
      </c>
      <c r="P89" s="4" t="s">
        <v>333</v>
      </c>
      <c r="V89" s="1"/>
      <c r="Z89"/>
    </row>
    <row r="90" spans="2:26" x14ac:dyDescent="0.35">
      <c r="B90" s="3" t="s">
        <v>334</v>
      </c>
      <c r="C90" s="3" t="s">
        <v>335</v>
      </c>
      <c r="D90" s="3" t="s">
        <v>173</v>
      </c>
      <c r="J90" s="1" t="s">
        <v>3</v>
      </c>
      <c r="K90" s="1" t="s">
        <v>123</v>
      </c>
      <c r="L90" s="4" t="s">
        <v>139</v>
      </c>
      <c r="N90" s="1" t="s">
        <v>3</v>
      </c>
      <c r="O90" s="4" t="s">
        <v>127</v>
      </c>
      <c r="P90" s="4" t="s">
        <v>336</v>
      </c>
      <c r="V90" s="1"/>
      <c r="Z90"/>
    </row>
    <row r="91" spans="2:26" x14ac:dyDescent="0.35">
      <c r="B91" s="3" t="s">
        <v>337</v>
      </c>
      <c r="C91" s="3" t="s">
        <v>338</v>
      </c>
      <c r="D91" s="3" t="s">
        <v>174</v>
      </c>
      <c r="J91" s="1" t="s">
        <v>3</v>
      </c>
      <c r="K91" s="1" t="s">
        <v>123</v>
      </c>
      <c r="L91" s="4" t="s">
        <v>142</v>
      </c>
      <c r="N91" s="1" t="s">
        <v>3</v>
      </c>
      <c r="O91" s="4" t="s">
        <v>127</v>
      </c>
      <c r="P91" s="4" t="s">
        <v>339</v>
      </c>
      <c r="V91" s="1"/>
      <c r="Z91"/>
    </row>
    <row r="92" spans="2:26" x14ac:dyDescent="0.35">
      <c r="B92" s="3" t="s">
        <v>340</v>
      </c>
      <c r="C92" s="3" t="s">
        <v>341</v>
      </c>
      <c r="D92" s="3" t="s">
        <v>175</v>
      </c>
      <c r="J92" s="1" t="s">
        <v>3</v>
      </c>
      <c r="K92" s="1" t="s">
        <v>123</v>
      </c>
      <c r="L92" s="4" t="s">
        <v>200</v>
      </c>
      <c r="N92" s="1" t="s">
        <v>3</v>
      </c>
      <c r="O92" s="4" t="s">
        <v>124</v>
      </c>
      <c r="P92" s="4" t="s">
        <v>342</v>
      </c>
      <c r="V92" s="1"/>
      <c r="Z92"/>
    </row>
    <row r="93" spans="2:26" x14ac:dyDescent="0.35">
      <c r="B93" s="3" t="s">
        <v>343</v>
      </c>
      <c r="C93" s="3" t="s">
        <v>344</v>
      </c>
      <c r="D93" s="3" t="s">
        <v>178</v>
      </c>
      <c r="J93" s="1" t="s">
        <v>3</v>
      </c>
      <c r="K93" s="1" t="s">
        <v>123</v>
      </c>
      <c r="L93" s="4" t="s">
        <v>169</v>
      </c>
      <c r="N93" s="1" t="s">
        <v>3</v>
      </c>
      <c r="O93" s="4" t="s">
        <v>145</v>
      </c>
      <c r="P93" s="4" t="s">
        <v>345</v>
      </c>
      <c r="V93" s="1"/>
      <c r="Z93"/>
    </row>
    <row r="94" spans="2:26" x14ac:dyDescent="0.35">
      <c r="B94" s="3" t="s">
        <v>346</v>
      </c>
      <c r="C94" s="3" t="s">
        <v>347</v>
      </c>
      <c r="D94" s="3" t="s">
        <v>181</v>
      </c>
      <c r="J94" s="1" t="s">
        <v>3</v>
      </c>
      <c r="K94" s="1" t="s">
        <v>123</v>
      </c>
      <c r="L94" s="4" t="s">
        <v>120</v>
      </c>
      <c r="N94" s="1" t="s">
        <v>3</v>
      </c>
      <c r="O94" s="4" t="s">
        <v>145</v>
      </c>
      <c r="P94" s="4" t="s">
        <v>348</v>
      </c>
      <c r="V94" s="1"/>
      <c r="Z94"/>
    </row>
    <row r="95" spans="2:26" x14ac:dyDescent="0.35">
      <c r="B95" s="3" t="s">
        <v>349</v>
      </c>
      <c r="C95" s="3" t="s">
        <v>350</v>
      </c>
      <c r="D95" s="3" t="s">
        <v>184</v>
      </c>
      <c r="J95" s="1" t="s">
        <v>3</v>
      </c>
      <c r="K95" s="1" t="s">
        <v>123</v>
      </c>
      <c r="L95" s="4" t="s">
        <v>145</v>
      </c>
      <c r="N95" s="1" t="s">
        <v>3</v>
      </c>
      <c r="O95" s="4" t="s">
        <v>145</v>
      </c>
      <c r="P95" s="4" t="s">
        <v>351</v>
      </c>
      <c r="V95" s="1"/>
      <c r="Z95"/>
    </row>
    <row r="96" spans="2:26" x14ac:dyDescent="0.35">
      <c r="B96" s="3" t="s">
        <v>352</v>
      </c>
      <c r="C96" s="3" t="s">
        <v>353</v>
      </c>
      <c r="D96" s="3" t="s">
        <v>187</v>
      </c>
      <c r="J96" s="1" t="s">
        <v>3</v>
      </c>
      <c r="K96" s="1" t="s">
        <v>123</v>
      </c>
      <c r="L96" s="4" t="s">
        <v>204</v>
      </c>
      <c r="N96" s="1" t="s">
        <v>3</v>
      </c>
      <c r="O96" s="4" t="s">
        <v>145</v>
      </c>
      <c r="P96" s="4" t="s">
        <v>354</v>
      </c>
      <c r="V96" s="1"/>
      <c r="Z96"/>
    </row>
    <row r="97" spans="2:26" x14ac:dyDescent="0.35">
      <c r="B97" s="3" t="s">
        <v>355</v>
      </c>
      <c r="C97" s="3" t="s">
        <v>356</v>
      </c>
      <c r="D97" s="3" t="s">
        <v>190</v>
      </c>
      <c r="J97" s="1" t="s">
        <v>3</v>
      </c>
      <c r="K97" s="1" t="s">
        <v>123</v>
      </c>
      <c r="L97" s="4" t="s">
        <v>147</v>
      </c>
      <c r="N97" s="1" t="s">
        <v>3</v>
      </c>
      <c r="O97" s="4" t="s">
        <v>145</v>
      </c>
      <c r="P97" s="4" t="s">
        <v>357</v>
      </c>
      <c r="V97" s="1"/>
      <c r="Z97"/>
    </row>
    <row r="98" spans="2:26" x14ac:dyDescent="0.35">
      <c r="B98" s="3" t="s">
        <v>358</v>
      </c>
      <c r="C98" s="3" t="s">
        <v>359</v>
      </c>
      <c r="D98" s="3" t="s">
        <v>194</v>
      </c>
      <c r="J98" s="1" t="s">
        <v>3</v>
      </c>
      <c r="K98" s="1" t="s">
        <v>123</v>
      </c>
      <c r="L98" s="4" t="s">
        <v>150</v>
      </c>
      <c r="N98" s="1" t="s">
        <v>3</v>
      </c>
      <c r="O98" s="4" t="s">
        <v>145</v>
      </c>
      <c r="P98" s="4" t="s">
        <v>360</v>
      </c>
      <c r="V98" s="1"/>
      <c r="Z98"/>
    </row>
    <row r="99" spans="2:26" x14ac:dyDescent="0.35">
      <c r="B99" s="3" t="s">
        <v>361</v>
      </c>
      <c r="C99" s="3" t="s">
        <v>362</v>
      </c>
      <c r="D99" s="3" t="s">
        <v>197</v>
      </c>
      <c r="J99" s="1" t="s">
        <v>3</v>
      </c>
      <c r="K99" s="1" t="s">
        <v>123</v>
      </c>
      <c r="L99" s="4" t="s">
        <v>152</v>
      </c>
      <c r="N99" s="1" t="s">
        <v>3</v>
      </c>
      <c r="O99" s="4" t="s">
        <v>145</v>
      </c>
      <c r="P99" s="4" t="s">
        <v>363</v>
      </c>
      <c r="V99" s="1"/>
      <c r="Z99"/>
    </row>
    <row r="100" spans="2:26" x14ac:dyDescent="0.35">
      <c r="B100" s="3" t="s">
        <v>364</v>
      </c>
      <c r="C100" s="3" t="s">
        <v>365</v>
      </c>
      <c r="D100" s="3" t="s">
        <v>201</v>
      </c>
      <c r="J100" s="1" t="s">
        <v>3</v>
      </c>
      <c r="K100" s="1" t="s">
        <v>123</v>
      </c>
      <c r="L100" s="4" t="s">
        <v>155</v>
      </c>
      <c r="N100" s="1" t="s">
        <v>3</v>
      </c>
      <c r="O100" s="4" t="s">
        <v>145</v>
      </c>
      <c r="P100" s="4" t="s">
        <v>366</v>
      </c>
      <c r="V100" s="1"/>
      <c r="Z100"/>
    </row>
    <row r="101" spans="2:26" x14ac:dyDescent="0.35">
      <c r="B101" s="3" t="s">
        <v>367</v>
      </c>
      <c r="C101" s="3" t="s">
        <v>368</v>
      </c>
      <c r="D101" s="3" t="s">
        <v>205</v>
      </c>
      <c r="J101" s="1" t="s">
        <v>3</v>
      </c>
      <c r="K101" s="1" t="s">
        <v>123</v>
      </c>
      <c r="L101" s="4" t="s">
        <v>157</v>
      </c>
      <c r="N101" s="1" t="s">
        <v>3</v>
      </c>
      <c r="O101" s="4" t="s">
        <v>120</v>
      </c>
      <c r="P101" s="4" t="s">
        <v>369</v>
      </c>
      <c r="V101" s="1"/>
      <c r="Z101"/>
    </row>
    <row r="102" spans="2:26" x14ac:dyDescent="0.35">
      <c r="B102" s="3" t="s">
        <v>370</v>
      </c>
      <c r="C102" s="3" t="s">
        <v>371</v>
      </c>
      <c r="D102" s="3" t="s">
        <v>208</v>
      </c>
      <c r="J102" s="1" t="s">
        <v>3</v>
      </c>
      <c r="K102" s="1" t="s">
        <v>123</v>
      </c>
      <c r="L102" s="4" t="s">
        <v>159</v>
      </c>
      <c r="N102" s="1" t="s">
        <v>3</v>
      </c>
      <c r="O102" s="4" t="s">
        <v>120</v>
      </c>
      <c r="P102" s="4" t="s">
        <v>372</v>
      </c>
      <c r="V102" s="1"/>
      <c r="Z102"/>
    </row>
    <row r="103" spans="2:26" x14ac:dyDescent="0.35">
      <c r="B103" s="3" t="s">
        <v>373</v>
      </c>
      <c r="C103" s="3" t="s">
        <v>374</v>
      </c>
      <c r="D103" s="3" t="s">
        <v>211</v>
      </c>
      <c r="J103" s="1" t="s">
        <v>3</v>
      </c>
      <c r="K103" s="1" t="s">
        <v>123</v>
      </c>
      <c r="L103" s="4" t="s">
        <v>162</v>
      </c>
      <c r="N103" s="1" t="s">
        <v>3</v>
      </c>
      <c r="O103" s="4" t="s">
        <v>120</v>
      </c>
      <c r="P103" s="4" t="s">
        <v>375</v>
      </c>
      <c r="V103" s="1"/>
      <c r="Z103"/>
    </row>
    <row r="104" spans="2:26" x14ac:dyDescent="0.35">
      <c r="B104" s="3" t="s">
        <v>376</v>
      </c>
      <c r="C104" s="3" t="s">
        <v>377</v>
      </c>
      <c r="D104" s="3" t="s">
        <v>214</v>
      </c>
      <c r="J104" s="1" t="s">
        <v>3</v>
      </c>
      <c r="K104" s="1" t="s">
        <v>123</v>
      </c>
      <c r="L104" s="4" t="s">
        <v>164</v>
      </c>
      <c r="N104" s="1" t="s">
        <v>3</v>
      </c>
      <c r="O104" s="4" t="s">
        <v>120</v>
      </c>
      <c r="P104" s="4" t="s">
        <v>378</v>
      </c>
      <c r="V104" s="1"/>
      <c r="Z104"/>
    </row>
    <row r="105" spans="2:26" x14ac:dyDescent="0.35">
      <c r="B105" s="3" t="s">
        <v>379</v>
      </c>
      <c r="C105" s="3" t="s">
        <v>380</v>
      </c>
      <c r="D105" s="3" t="s">
        <v>215</v>
      </c>
      <c r="J105" s="1" t="s">
        <v>3</v>
      </c>
      <c r="K105" s="1" t="s">
        <v>117</v>
      </c>
      <c r="L105" s="4" t="s">
        <v>147</v>
      </c>
      <c r="N105" s="1" t="s">
        <v>3</v>
      </c>
      <c r="O105" s="4" t="s">
        <v>120</v>
      </c>
      <c r="P105" s="4" t="s">
        <v>381</v>
      </c>
      <c r="V105" s="1"/>
      <c r="Z105"/>
    </row>
    <row r="106" spans="2:26" x14ac:dyDescent="0.35">
      <c r="B106" s="3" t="s">
        <v>382</v>
      </c>
      <c r="C106" s="3" t="s">
        <v>383</v>
      </c>
      <c r="D106" s="3" t="s">
        <v>218</v>
      </c>
      <c r="J106" s="1" t="s">
        <v>3</v>
      </c>
      <c r="K106" s="1" t="s">
        <v>117</v>
      </c>
      <c r="L106" s="4" t="s">
        <v>150</v>
      </c>
      <c r="N106" s="1" t="s">
        <v>3</v>
      </c>
      <c r="O106" s="4" t="s">
        <v>120</v>
      </c>
      <c r="P106" s="4" t="s">
        <v>384</v>
      </c>
      <c r="V106" s="1"/>
      <c r="Z106"/>
    </row>
    <row r="107" spans="2:26" x14ac:dyDescent="0.35">
      <c r="B107" s="3" t="s">
        <v>385</v>
      </c>
      <c r="C107" s="3" t="s">
        <v>386</v>
      </c>
      <c r="D107" s="3" t="s">
        <v>221</v>
      </c>
      <c r="J107" s="1" t="s">
        <v>3</v>
      </c>
      <c r="K107" s="1" t="s">
        <v>117</v>
      </c>
      <c r="L107" s="4" t="s">
        <v>152</v>
      </c>
      <c r="N107" s="1" t="s">
        <v>3</v>
      </c>
      <c r="O107" s="4" t="s">
        <v>120</v>
      </c>
      <c r="P107" s="4" t="s">
        <v>387</v>
      </c>
      <c r="V107" s="1"/>
      <c r="Z107"/>
    </row>
    <row r="108" spans="2:26" x14ac:dyDescent="0.35">
      <c r="B108" s="3" t="s">
        <v>388</v>
      </c>
      <c r="C108" s="3" t="s">
        <v>389</v>
      </c>
      <c r="D108" s="3" t="s">
        <v>224</v>
      </c>
      <c r="J108" s="1" t="s">
        <v>3</v>
      </c>
      <c r="K108" s="1" t="s">
        <v>117</v>
      </c>
      <c r="L108" s="4" t="s">
        <v>155</v>
      </c>
      <c r="N108" s="1" t="s">
        <v>3</v>
      </c>
      <c r="O108" s="4" t="s">
        <v>120</v>
      </c>
      <c r="P108" s="4" t="s">
        <v>390</v>
      </c>
      <c r="V108" s="1"/>
      <c r="Z108"/>
    </row>
    <row r="109" spans="2:26" x14ac:dyDescent="0.35">
      <c r="B109" s="3" t="s">
        <v>391</v>
      </c>
      <c r="C109" s="3" t="s">
        <v>392</v>
      </c>
      <c r="D109" s="3" t="s">
        <v>227</v>
      </c>
      <c r="J109" s="1" t="s">
        <v>3</v>
      </c>
      <c r="K109" s="1" t="s">
        <v>117</v>
      </c>
      <c r="L109" s="4" t="s">
        <v>157</v>
      </c>
      <c r="N109" s="1" t="s">
        <v>3</v>
      </c>
      <c r="O109" s="4" t="s">
        <v>142</v>
      </c>
      <c r="P109" s="4" t="s">
        <v>393</v>
      </c>
      <c r="V109" s="1"/>
      <c r="Z109"/>
    </row>
    <row r="110" spans="2:26" x14ac:dyDescent="0.35">
      <c r="B110" s="3" t="s">
        <v>394</v>
      </c>
      <c r="C110" s="3" t="s">
        <v>395</v>
      </c>
      <c r="D110" s="3" t="s">
        <v>230</v>
      </c>
      <c r="J110" s="1" t="s">
        <v>3</v>
      </c>
      <c r="K110" s="1" t="s">
        <v>117</v>
      </c>
      <c r="L110" s="4" t="s">
        <v>159</v>
      </c>
      <c r="N110" s="1" t="s">
        <v>3</v>
      </c>
      <c r="O110" s="4" t="s">
        <v>142</v>
      </c>
      <c r="P110" s="4" t="s">
        <v>396</v>
      </c>
      <c r="V110" s="1"/>
      <c r="Z110"/>
    </row>
    <row r="111" spans="2:26" x14ac:dyDescent="0.35">
      <c r="B111" s="3" t="s">
        <v>397</v>
      </c>
      <c r="C111" s="3" t="s">
        <v>398</v>
      </c>
      <c r="D111" s="3" t="s">
        <v>233</v>
      </c>
      <c r="J111" s="1" t="s">
        <v>3</v>
      </c>
      <c r="K111" s="1" t="s">
        <v>117</v>
      </c>
      <c r="L111" s="4" t="s">
        <v>162</v>
      </c>
      <c r="N111" s="1" t="s">
        <v>3</v>
      </c>
      <c r="O111" s="4" t="s">
        <v>142</v>
      </c>
      <c r="P111" s="4" t="s">
        <v>399</v>
      </c>
      <c r="V111" s="1"/>
      <c r="Z111"/>
    </row>
    <row r="112" spans="2:26" x14ac:dyDescent="0.35">
      <c r="B112" s="3" t="s">
        <v>400</v>
      </c>
      <c r="C112" s="3" t="s">
        <v>401</v>
      </c>
      <c r="D112" s="3" t="s">
        <v>236</v>
      </c>
      <c r="J112" s="1" t="s">
        <v>3</v>
      </c>
      <c r="K112" s="1" t="s">
        <v>117</v>
      </c>
      <c r="L112" s="4" t="s">
        <v>164</v>
      </c>
      <c r="N112" s="1" t="s">
        <v>3</v>
      </c>
      <c r="O112" s="4" t="s">
        <v>142</v>
      </c>
      <c r="P112" s="4" t="s">
        <v>402</v>
      </c>
      <c r="V112" s="1"/>
      <c r="Z112"/>
    </row>
    <row r="113" spans="2:26" x14ac:dyDescent="0.35">
      <c r="B113" s="3" t="s">
        <v>403</v>
      </c>
      <c r="C113" s="3" t="s">
        <v>404</v>
      </c>
      <c r="D113" s="3" t="s">
        <v>239</v>
      </c>
      <c r="J113" s="1" t="s">
        <v>66</v>
      </c>
      <c r="K113" s="5" t="s">
        <v>126</v>
      </c>
      <c r="L113" s="6" t="s">
        <v>176</v>
      </c>
      <c r="N113" s="1" t="s">
        <v>3</v>
      </c>
      <c r="O113" s="4" t="s">
        <v>142</v>
      </c>
      <c r="P113" s="4" t="s">
        <v>405</v>
      </c>
      <c r="V113" s="1"/>
      <c r="Z113"/>
    </row>
    <row r="114" spans="2:26" x14ac:dyDescent="0.35">
      <c r="B114" s="3" t="s">
        <v>406</v>
      </c>
      <c r="C114" s="3" t="s">
        <v>407</v>
      </c>
      <c r="D114" s="3" t="s">
        <v>242</v>
      </c>
      <c r="J114" s="1" t="s">
        <v>66</v>
      </c>
      <c r="K114" s="5" t="s">
        <v>126</v>
      </c>
      <c r="L114" s="6" t="s">
        <v>179</v>
      </c>
      <c r="N114" s="1" t="s">
        <v>3</v>
      </c>
      <c r="O114" s="4" t="s">
        <v>142</v>
      </c>
      <c r="P114" s="4" t="s">
        <v>408</v>
      </c>
      <c r="V114" s="1"/>
      <c r="Z114"/>
    </row>
    <row r="115" spans="2:26" x14ac:dyDescent="0.35">
      <c r="B115" s="3" t="s">
        <v>409</v>
      </c>
      <c r="C115" s="3" t="s">
        <v>410</v>
      </c>
      <c r="D115" s="3" t="s">
        <v>245</v>
      </c>
      <c r="J115" s="1" t="s">
        <v>66</v>
      </c>
      <c r="K115" s="5" t="s">
        <v>126</v>
      </c>
      <c r="L115" s="6" t="s">
        <v>182</v>
      </c>
      <c r="N115" s="1" t="s">
        <v>3</v>
      </c>
      <c r="O115" s="4" t="s">
        <v>142</v>
      </c>
      <c r="P115" s="4" t="s">
        <v>411</v>
      </c>
      <c r="V115" s="1"/>
      <c r="Z115"/>
    </row>
    <row r="116" spans="2:26" x14ac:dyDescent="0.35">
      <c r="B116" s="3" t="s">
        <v>412</v>
      </c>
      <c r="C116" s="3" t="s">
        <v>413</v>
      </c>
      <c r="D116" s="3" t="s">
        <v>248</v>
      </c>
      <c r="J116" s="1" t="s">
        <v>66</v>
      </c>
      <c r="K116" s="5" t="s">
        <v>126</v>
      </c>
      <c r="L116" s="6" t="s">
        <v>185</v>
      </c>
      <c r="N116" s="1" t="s">
        <v>3</v>
      </c>
      <c r="O116" s="4" t="s">
        <v>142</v>
      </c>
      <c r="P116" s="4" t="s">
        <v>414</v>
      </c>
      <c r="V116" s="1"/>
      <c r="Z116"/>
    </row>
    <row r="117" spans="2:26" x14ac:dyDescent="0.35">
      <c r="B117" s="3" t="s">
        <v>415</v>
      </c>
      <c r="C117" s="3" t="s">
        <v>416</v>
      </c>
      <c r="D117" s="3" t="s">
        <v>251</v>
      </c>
      <c r="J117" s="1" t="s">
        <v>66</v>
      </c>
      <c r="K117" s="5" t="s">
        <v>126</v>
      </c>
      <c r="L117" s="6" t="s">
        <v>188</v>
      </c>
      <c r="N117" s="1" t="s">
        <v>3</v>
      </c>
      <c r="O117" s="4" t="s">
        <v>139</v>
      </c>
      <c r="P117" s="4" t="s">
        <v>417</v>
      </c>
      <c r="V117" s="1"/>
      <c r="Z117"/>
    </row>
    <row r="118" spans="2:26" x14ac:dyDescent="0.35">
      <c r="B118" s="3" t="s">
        <v>418</v>
      </c>
      <c r="C118" s="3" t="s">
        <v>419</v>
      </c>
      <c r="D118" s="3" t="s">
        <v>254</v>
      </c>
      <c r="J118" s="1" t="s">
        <v>66</v>
      </c>
      <c r="K118" s="5" t="s">
        <v>126</v>
      </c>
      <c r="L118" s="6" t="s">
        <v>191</v>
      </c>
      <c r="N118" s="1" t="s">
        <v>3</v>
      </c>
      <c r="O118" s="4" t="s">
        <v>139</v>
      </c>
      <c r="P118" s="4" t="s">
        <v>420</v>
      </c>
      <c r="V118" s="1"/>
      <c r="Z118"/>
    </row>
    <row r="119" spans="2:26" x14ac:dyDescent="0.35">
      <c r="B119" s="3" t="s">
        <v>421</v>
      </c>
      <c r="C119" s="3" t="s">
        <v>422</v>
      </c>
      <c r="D119" s="3" t="s">
        <v>257</v>
      </c>
      <c r="J119" s="1" t="s">
        <v>66</v>
      </c>
      <c r="K119" s="5" t="s">
        <v>126</v>
      </c>
      <c r="L119" s="6" t="s">
        <v>195</v>
      </c>
      <c r="N119" s="1" t="s">
        <v>3</v>
      </c>
      <c r="O119" s="4" t="s">
        <v>139</v>
      </c>
      <c r="P119" s="4" t="s">
        <v>423</v>
      </c>
      <c r="V119" s="1"/>
      <c r="Z119"/>
    </row>
    <row r="120" spans="2:26" x14ac:dyDescent="0.35">
      <c r="B120" s="3" t="s">
        <v>424</v>
      </c>
      <c r="C120" s="3" t="s">
        <v>425</v>
      </c>
      <c r="D120" s="3" t="s">
        <v>260</v>
      </c>
      <c r="J120" s="1" t="s">
        <v>66</v>
      </c>
      <c r="K120" s="5" t="s">
        <v>126</v>
      </c>
      <c r="L120" s="6" t="s">
        <v>198</v>
      </c>
      <c r="N120" s="1" t="s">
        <v>3</v>
      </c>
      <c r="O120" s="4" t="s">
        <v>169</v>
      </c>
      <c r="P120" s="4" t="s">
        <v>426</v>
      </c>
      <c r="V120" s="1"/>
      <c r="Z120"/>
    </row>
    <row r="121" spans="2:26" x14ac:dyDescent="0.35">
      <c r="B121" s="3" t="s">
        <v>427</v>
      </c>
      <c r="C121" s="3" t="s">
        <v>428</v>
      </c>
      <c r="D121" s="3" t="s">
        <v>263</v>
      </c>
      <c r="J121" s="1" t="s">
        <v>66</v>
      </c>
      <c r="K121" s="5" t="s">
        <v>126</v>
      </c>
      <c r="L121" s="6" t="s">
        <v>202</v>
      </c>
      <c r="N121" s="1" t="s">
        <v>3</v>
      </c>
      <c r="O121" s="4" t="s">
        <v>169</v>
      </c>
      <c r="P121" s="4" t="s">
        <v>429</v>
      </c>
      <c r="V121" s="1"/>
      <c r="Z121"/>
    </row>
    <row r="122" spans="2:26" x14ac:dyDescent="0.35">
      <c r="B122" s="3" t="s">
        <v>430</v>
      </c>
      <c r="C122" s="3" t="s">
        <v>431</v>
      </c>
      <c r="D122" s="3" t="s">
        <v>266</v>
      </c>
      <c r="J122" s="1" t="s">
        <v>66</v>
      </c>
      <c r="K122" s="5" t="s">
        <v>126</v>
      </c>
      <c r="L122" s="6" t="s">
        <v>206</v>
      </c>
      <c r="N122" s="1" t="s">
        <v>3</v>
      </c>
      <c r="O122" s="4" t="s">
        <v>169</v>
      </c>
      <c r="P122" s="4" t="s">
        <v>432</v>
      </c>
      <c r="V122" s="1"/>
      <c r="Z122"/>
    </row>
    <row r="123" spans="2:26" x14ac:dyDescent="0.35">
      <c r="B123" s="3" t="s">
        <v>433</v>
      </c>
      <c r="C123" s="3" t="s">
        <v>434</v>
      </c>
      <c r="D123" s="3" t="s">
        <v>269</v>
      </c>
      <c r="J123" s="1" t="s">
        <v>66</v>
      </c>
      <c r="K123" s="5" t="s">
        <v>126</v>
      </c>
      <c r="L123" s="6" t="s">
        <v>209</v>
      </c>
      <c r="N123" s="1" t="s">
        <v>3</v>
      </c>
      <c r="O123" s="4" t="s">
        <v>169</v>
      </c>
      <c r="P123" s="4" t="s">
        <v>435</v>
      </c>
      <c r="V123" s="1"/>
      <c r="Z123"/>
    </row>
    <row r="124" spans="2:26" x14ac:dyDescent="0.35">
      <c r="B124" s="3" t="s">
        <v>436</v>
      </c>
      <c r="C124" s="3" t="s">
        <v>437</v>
      </c>
      <c r="D124" s="3" t="s">
        <v>272</v>
      </c>
      <c r="J124" s="1" t="s">
        <v>66</v>
      </c>
      <c r="K124" s="5" t="s">
        <v>126</v>
      </c>
      <c r="L124" s="6" t="s">
        <v>212</v>
      </c>
      <c r="N124" s="1" t="s">
        <v>3</v>
      </c>
      <c r="O124" s="4" t="s">
        <v>169</v>
      </c>
      <c r="P124" s="4" t="s">
        <v>438</v>
      </c>
      <c r="V124" s="1"/>
      <c r="Z124"/>
    </row>
    <row r="125" spans="2:26" x14ac:dyDescent="0.35">
      <c r="B125" s="3" t="s">
        <v>439</v>
      </c>
      <c r="C125" s="3" t="s">
        <v>440</v>
      </c>
      <c r="D125" s="3" t="s">
        <v>275</v>
      </c>
      <c r="J125" s="1" t="s">
        <v>66</v>
      </c>
      <c r="K125" s="5" t="s">
        <v>126</v>
      </c>
      <c r="L125" s="6" t="s">
        <v>137</v>
      </c>
      <c r="N125" s="1" t="s">
        <v>3</v>
      </c>
      <c r="O125" s="4" t="s">
        <v>169</v>
      </c>
      <c r="P125" s="4" t="s">
        <v>441</v>
      </c>
      <c r="V125" s="1"/>
      <c r="Z125"/>
    </row>
    <row r="126" spans="2:26" x14ac:dyDescent="0.35">
      <c r="B126" s="3" t="s">
        <v>442</v>
      </c>
      <c r="C126" s="3" t="s">
        <v>443</v>
      </c>
      <c r="D126" s="3" t="s">
        <v>278</v>
      </c>
      <c r="J126" s="1" t="s">
        <v>66</v>
      </c>
      <c r="K126" s="5" t="s">
        <v>126</v>
      </c>
      <c r="L126" s="6" t="s">
        <v>216</v>
      </c>
      <c r="N126" s="1" t="s">
        <v>3</v>
      </c>
      <c r="O126" s="4" t="s">
        <v>169</v>
      </c>
      <c r="P126" s="4" t="s">
        <v>444</v>
      </c>
      <c r="V126" s="1"/>
      <c r="Z126"/>
    </row>
    <row r="127" spans="2:26" x14ac:dyDescent="0.35">
      <c r="B127" s="3" t="s">
        <v>445</v>
      </c>
      <c r="C127" s="3" t="s">
        <v>446</v>
      </c>
      <c r="D127" s="3" t="s">
        <v>281</v>
      </c>
      <c r="J127" s="1" t="s">
        <v>66</v>
      </c>
      <c r="K127" s="5" t="s">
        <v>126</v>
      </c>
      <c r="L127" s="6" t="s">
        <v>219</v>
      </c>
      <c r="N127" s="1" t="s">
        <v>3</v>
      </c>
      <c r="O127" s="4" t="s">
        <v>169</v>
      </c>
      <c r="P127" s="4" t="s">
        <v>447</v>
      </c>
      <c r="V127" s="1"/>
      <c r="Z127"/>
    </row>
    <row r="128" spans="2:26" x14ac:dyDescent="0.35">
      <c r="B128" s="3" t="s">
        <v>448</v>
      </c>
      <c r="C128" s="3" t="s">
        <v>449</v>
      </c>
      <c r="D128" s="3" t="s">
        <v>284</v>
      </c>
      <c r="J128" s="1" t="s">
        <v>66</v>
      </c>
      <c r="K128" s="5" t="s">
        <v>126</v>
      </c>
      <c r="L128" s="6" t="s">
        <v>222</v>
      </c>
      <c r="N128" s="1" t="s">
        <v>3</v>
      </c>
      <c r="O128" s="4" t="s">
        <v>169</v>
      </c>
      <c r="P128" s="4" t="s">
        <v>450</v>
      </c>
      <c r="V128" s="1"/>
      <c r="Z128"/>
    </row>
    <row r="129" spans="2:26" x14ac:dyDescent="0.35">
      <c r="B129" s="3" t="s">
        <v>451</v>
      </c>
      <c r="C129" s="3" t="s">
        <v>452</v>
      </c>
      <c r="D129" s="3" t="s">
        <v>286</v>
      </c>
      <c r="J129" s="1" t="s">
        <v>66</v>
      </c>
      <c r="K129" s="5" t="s">
        <v>126</v>
      </c>
      <c r="L129" s="6" t="s">
        <v>225</v>
      </c>
      <c r="N129" s="1" t="s">
        <v>3</v>
      </c>
      <c r="O129" s="4" t="s">
        <v>169</v>
      </c>
      <c r="P129" s="4" t="s">
        <v>453</v>
      </c>
      <c r="V129" s="1"/>
      <c r="Z129"/>
    </row>
    <row r="130" spans="2:26" x14ac:dyDescent="0.35">
      <c r="B130" s="3" t="s">
        <v>454</v>
      </c>
      <c r="C130" s="3" t="s">
        <v>455</v>
      </c>
      <c r="D130" s="3" t="s">
        <v>289</v>
      </c>
      <c r="J130" s="1" t="s">
        <v>66</v>
      </c>
      <c r="K130" s="5" t="s">
        <v>126</v>
      </c>
      <c r="L130" s="6" t="s">
        <v>228</v>
      </c>
      <c r="N130" s="1" t="s">
        <v>3</v>
      </c>
      <c r="O130" s="4" t="s">
        <v>166</v>
      </c>
      <c r="P130" s="4" t="s">
        <v>456</v>
      </c>
      <c r="V130" s="1"/>
      <c r="Z130"/>
    </row>
    <row r="131" spans="2:26" x14ac:dyDescent="0.35">
      <c r="B131" s="3" t="s">
        <v>457</v>
      </c>
      <c r="C131" s="3" t="s">
        <v>458</v>
      </c>
      <c r="D131" s="3" t="s">
        <v>292</v>
      </c>
      <c r="J131" s="1" t="s">
        <v>66</v>
      </c>
      <c r="K131" s="5" t="s">
        <v>126</v>
      </c>
      <c r="L131" s="6" t="s">
        <v>231</v>
      </c>
      <c r="N131" s="1" t="s">
        <v>3</v>
      </c>
      <c r="O131" s="4" t="s">
        <v>166</v>
      </c>
      <c r="P131" s="4" t="s">
        <v>459</v>
      </c>
      <c r="V131" s="1"/>
      <c r="Z131"/>
    </row>
    <row r="132" spans="2:26" x14ac:dyDescent="0.35">
      <c r="B132" s="3" t="s">
        <v>460</v>
      </c>
      <c r="C132" s="3" t="s">
        <v>461</v>
      </c>
      <c r="D132" s="3" t="s">
        <v>295</v>
      </c>
      <c r="J132" s="1" t="s">
        <v>66</v>
      </c>
      <c r="K132" s="5" t="s">
        <v>126</v>
      </c>
      <c r="L132" s="6" t="s">
        <v>234</v>
      </c>
      <c r="N132" s="1" t="s">
        <v>3</v>
      </c>
      <c r="O132" s="4" t="s">
        <v>166</v>
      </c>
      <c r="P132" s="4" t="s">
        <v>462</v>
      </c>
      <c r="V132" s="1"/>
      <c r="Z132"/>
    </row>
    <row r="133" spans="2:26" x14ac:dyDescent="0.35">
      <c r="B133" s="3" t="s">
        <v>463</v>
      </c>
      <c r="C133" s="3" t="s">
        <v>464</v>
      </c>
      <c r="D133" s="3" t="s">
        <v>298</v>
      </c>
      <c r="J133" s="1" t="s">
        <v>66</v>
      </c>
      <c r="K133" s="5" t="s">
        <v>126</v>
      </c>
      <c r="L133" s="6" t="s">
        <v>237</v>
      </c>
      <c r="N133" s="1" t="s">
        <v>3</v>
      </c>
      <c r="O133" s="4" t="s">
        <v>166</v>
      </c>
      <c r="P133" s="4" t="s">
        <v>465</v>
      </c>
      <c r="V133" s="1"/>
      <c r="Z133"/>
    </row>
    <row r="134" spans="2:26" x14ac:dyDescent="0.35">
      <c r="B134" s="3" t="s">
        <v>466</v>
      </c>
      <c r="C134" s="3" t="s">
        <v>467</v>
      </c>
      <c r="D134" s="3" t="s">
        <v>301</v>
      </c>
      <c r="J134" s="1" t="s">
        <v>66</v>
      </c>
      <c r="K134" s="5" t="s">
        <v>126</v>
      </c>
      <c r="L134" s="6" t="s">
        <v>240</v>
      </c>
      <c r="N134" s="1" t="s">
        <v>3</v>
      </c>
      <c r="O134" s="4" t="s">
        <v>166</v>
      </c>
      <c r="P134" s="4" t="s">
        <v>468</v>
      </c>
      <c r="V134" s="1"/>
      <c r="Z134"/>
    </row>
    <row r="135" spans="2:26" x14ac:dyDescent="0.35">
      <c r="B135" s="3" t="s">
        <v>469</v>
      </c>
      <c r="C135" s="3" t="s">
        <v>470</v>
      </c>
      <c r="D135" s="3" t="s">
        <v>304</v>
      </c>
      <c r="J135" s="1" t="s">
        <v>66</v>
      </c>
      <c r="K135" s="5" t="s">
        <v>129</v>
      </c>
      <c r="L135" s="6" t="s">
        <v>243</v>
      </c>
      <c r="N135" s="1" t="s">
        <v>3</v>
      </c>
      <c r="O135" s="4" t="s">
        <v>166</v>
      </c>
      <c r="P135" s="4" t="s">
        <v>471</v>
      </c>
      <c r="V135" s="1"/>
      <c r="Z135"/>
    </row>
    <row r="136" spans="2:26" x14ac:dyDescent="0.35">
      <c r="B136" s="3" t="s">
        <v>472</v>
      </c>
      <c r="C136" s="3" t="s">
        <v>473</v>
      </c>
      <c r="D136" s="3" t="s">
        <v>307</v>
      </c>
      <c r="J136" s="1" t="s">
        <v>66</v>
      </c>
      <c r="K136" s="5" t="s">
        <v>129</v>
      </c>
      <c r="L136" s="6" t="s">
        <v>209</v>
      </c>
      <c r="N136" s="1" t="s">
        <v>3</v>
      </c>
      <c r="O136" s="4" t="s">
        <v>166</v>
      </c>
      <c r="P136" s="4" t="s">
        <v>474</v>
      </c>
      <c r="V136" s="1"/>
      <c r="Z136"/>
    </row>
    <row r="137" spans="2:26" x14ac:dyDescent="0.35">
      <c r="B137" s="3" t="s">
        <v>475</v>
      </c>
      <c r="C137" s="3" t="s">
        <v>476</v>
      </c>
      <c r="D137" s="3" t="s">
        <v>310</v>
      </c>
      <c r="J137" s="1" t="s">
        <v>66</v>
      </c>
      <c r="K137" s="5" t="s">
        <v>129</v>
      </c>
      <c r="L137" s="6" t="s">
        <v>246</v>
      </c>
      <c r="N137" s="1" t="s">
        <v>3</v>
      </c>
      <c r="O137" s="4" t="s">
        <v>166</v>
      </c>
      <c r="P137" s="4" t="s">
        <v>477</v>
      </c>
      <c r="V137" s="1"/>
      <c r="Z137"/>
    </row>
    <row r="138" spans="2:26" x14ac:dyDescent="0.35">
      <c r="B138" s="3" t="s">
        <v>478</v>
      </c>
      <c r="C138" s="3" t="s">
        <v>479</v>
      </c>
      <c r="D138" s="3" t="s">
        <v>313</v>
      </c>
      <c r="J138" s="1" t="s">
        <v>66</v>
      </c>
      <c r="K138" s="5" t="s">
        <v>129</v>
      </c>
      <c r="L138" s="6" t="s">
        <v>137</v>
      </c>
      <c r="N138" s="1" t="s">
        <v>3</v>
      </c>
      <c r="O138" s="4" t="s">
        <v>166</v>
      </c>
      <c r="P138" s="4" t="s">
        <v>480</v>
      </c>
      <c r="V138" s="1"/>
      <c r="Z138"/>
    </row>
    <row r="139" spans="2:26" x14ac:dyDescent="0.35">
      <c r="B139" s="3" t="s">
        <v>481</v>
      </c>
      <c r="C139" s="3" t="s">
        <v>482</v>
      </c>
      <c r="D139" s="3" t="s">
        <v>316</v>
      </c>
      <c r="J139" s="1" t="s">
        <v>66</v>
      </c>
      <c r="K139" s="5" t="s">
        <v>129</v>
      </c>
      <c r="L139" s="6" t="s">
        <v>219</v>
      </c>
      <c r="N139" s="1" t="s">
        <v>3</v>
      </c>
      <c r="O139" s="4" t="s">
        <v>166</v>
      </c>
      <c r="P139" s="4" t="s">
        <v>483</v>
      </c>
      <c r="V139" s="1"/>
      <c r="Z139"/>
    </row>
    <row r="140" spans="2:26" x14ac:dyDescent="0.35">
      <c r="B140" s="3" t="s">
        <v>484</v>
      </c>
      <c r="C140" s="3" t="s">
        <v>485</v>
      </c>
      <c r="D140" s="3" t="s">
        <v>125</v>
      </c>
      <c r="J140" s="1" t="s">
        <v>66</v>
      </c>
      <c r="K140" s="5" t="s">
        <v>129</v>
      </c>
      <c r="L140" s="6" t="s">
        <v>222</v>
      </c>
      <c r="N140" s="1" t="s">
        <v>3</v>
      </c>
      <c r="O140" s="4" t="s">
        <v>204</v>
      </c>
      <c r="P140" s="4" t="s">
        <v>486</v>
      </c>
      <c r="V140" s="1"/>
      <c r="Z140"/>
    </row>
    <row r="141" spans="2:26" x14ac:dyDescent="0.35">
      <c r="B141" s="3" t="s">
        <v>487</v>
      </c>
      <c r="C141" s="3" t="s">
        <v>488</v>
      </c>
      <c r="D141" s="3" t="s">
        <v>321</v>
      </c>
      <c r="J141" s="1" t="s">
        <v>66</v>
      </c>
      <c r="K141" s="5" t="s">
        <v>129</v>
      </c>
      <c r="L141" s="6" t="s">
        <v>225</v>
      </c>
      <c r="N141" s="1" t="s">
        <v>3</v>
      </c>
      <c r="O141" s="4" t="s">
        <v>204</v>
      </c>
      <c r="P141" s="4" t="s">
        <v>489</v>
      </c>
      <c r="V141" s="1"/>
      <c r="Z141"/>
    </row>
    <row r="142" spans="2:26" x14ac:dyDescent="0.35">
      <c r="B142" s="3" t="s">
        <v>490</v>
      </c>
      <c r="C142" s="3" t="s">
        <v>491</v>
      </c>
      <c r="D142" s="3" t="s">
        <v>324</v>
      </c>
      <c r="J142" s="1" t="s">
        <v>66</v>
      </c>
      <c r="K142" s="5" t="s">
        <v>129</v>
      </c>
      <c r="L142" s="6" t="s">
        <v>228</v>
      </c>
      <c r="N142" s="1" t="s">
        <v>3</v>
      </c>
      <c r="O142" s="4" t="s">
        <v>204</v>
      </c>
      <c r="P142" s="4" t="s">
        <v>492</v>
      </c>
      <c r="V142" s="1"/>
      <c r="Z142"/>
    </row>
    <row r="143" spans="2:26" x14ac:dyDescent="0.35">
      <c r="B143" s="3" t="s">
        <v>493</v>
      </c>
      <c r="C143" s="3" t="s">
        <v>494</v>
      </c>
      <c r="D143" s="3" t="s">
        <v>327</v>
      </c>
      <c r="J143" s="1" t="s">
        <v>66</v>
      </c>
      <c r="K143" s="5" t="s">
        <v>129</v>
      </c>
      <c r="L143" s="6" t="s">
        <v>231</v>
      </c>
      <c r="N143" s="1" t="s">
        <v>3</v>
      </c>
      <c r="O143" s="4" t="s">
        <v>204</v>
      </c>
      <c r="P143" s="4" t="s">
        <v>495</v>
      </c>
      <c r="V143" s="1"/>
      <c r="Z143"/>
    </row>
    <row r="144" spans="2:26" x14ac:dyDescent="0.35">
      <c r="B144" s="3" t="s">
        <v>496</v>
      </c>
      <c r="C144" s="3" t="s">
        <v>497</v>
      </c>
      <c r="D144" s="3" t="s">
        <v>330</v>
      </c>
      <c r="J144" s="1" t="s">
        <v>66</v>
      </c>
      <c r="K144" s="5" t="s">
        <v>129</v>
      </c>
      <c r="L144" s="6" t="s">
        <v>234</v>
      </c>
      <c r="N144" s="1" t="s">
        <v>3</v>
      </c>
      <c r="O144" s="4" t="s">
        <v>204</v>
      </c>
      <c r="P144" s="4" t="s">
        <v>498</v>
      </c>
      <c r="V144" s="1"/>
      <c r="Z144"/>
    </row>
    <row r="145" spans="2:26" x14ac:dyDescent="0.35">
      <c r="B145" s="3" t="s">
        <v>499</v>
      </c>
      <c r="C145" s="3" t="s">
        <v>500</v>
      </c>
      <c r="D145" s="3" t="s">
        <v>333</v>
      </c>
      <c r="J145" s="1" t="s">
        <v>66</v>
      </c>
      <c r="K145" s="5" t="s">
        <v>129</v>
      </c>
      <c r="L145" s="6" t="s">
        <v>237</v>
      </c>
      <c r="N145" s="1" t="s">
        <v>3</v>
      </c>
      <c r="O145" s="4" t="s">
        <v>204</v>
      </c>
      <c r="P145" s="4" t="s">
        <v>501</v>
      </c>
      <c r="V145" s="1"/>
      <c r="Z145"/>
    </row>
    <row r="146" spans="2:26" x14ac:dyDescent="0.35">
      <c r="B146" s="3" t="s">
        <v>502</v>
      </c>
      <c r="C146" s="3" t="s">
        <v>503</v>
      </c>
      <c r="D146" s="3" t="s">
        <v>336</v>
      </c>
      <c r="J146" s="1" t="s">
        <v>66</v>
      </c>
      <c r="K146" s="5" t="s">
        <v>129</v>
      </c>
      <c r="L146" s="6" t="s">
        <v>240</v>
      </c>
      <c r="N146" s="1" t="s">
        <v>3</v>
      </c>
      <c r="O146" s="4" t="s">
        <v>204</v>
      </c>
      <c r="P146" s="4" t="s">
        <v>504</v>
      </c>
      <c r="V146" s="1"/>
      <c r="Z146"/>
    </row>
    <row r="147" spans="2:26" x14ac:dyDescent="0.35">
      <c r="B147" s="3" t="s">
        <v>505</v>
      </c>
      <c r="C147" s="3" t="s">
        <v>506</v>
      </c>
      <c r="D147" s="3" t="s">
        <v>339</v>
      </c>
      <c r="J147" s="1" t="s">
        <v>66</v>
      </c>
      <c r="K147" s="5" t="s">
        <v>132</v>
      </c>
      <c r="L147" s="6" t="s">
        <v>249</v>
      </c>
      <c r="N147" s="1" t="s">
        <v>3</v>
      </c>
      <c r="O147" s="4" t="s">
        <v>193</v>
      </c>
      <c r="P147" s="4" t="s">
        <v>507</v>
      </c>
      <c r="V147" s="1"/>
      <c r="Z147"/>
    </row>
    <row r="148" spans="2:26" x14ac:dyDescent="0.35">
      <c r="B148" s="3" t="s">
        <v>508</v>
      </c>
      <c r="C148" s="3" t="s">
        <v>509</v>
      </c>
      <c r="D148" s="3" t="s">
        <v>342</v>
      </c>
      <c r="J148" s="1" t="s">
        <v>66</v>
      </c>
      <c r="K148" s="5" t="s">
        <v>132</v>
      </c>
      <c r="L148" s="6" t="s">
        <v>209</v>
      </c>
      <c r="N148" s="1" t="s">
        <v>3</v>
      </c>
      <c r="O148" s="4" t="s">
        <v>193</v>
      </c>
      <c r="P148" s="4" t="s">
        <v>510</v>
      </c>
      <c r="V148" s="1"/>
      <c r="Z148"/>
    </row>
    <row r="149" spans="2:26" x14ac:dyDescent="0.35">
      <c r="B149" s="3" t="s">
        <v>511</v>
      </c>
      <c r="C149" s="3" t="s">
        <v>512</v>
      </c>
      <c r="D149" s="3" t="s">
        <v>345</v>
      </c>
      <c r="J149" s="1" t="s">
        <v>66</v>
      </c>
      <c r="K149" s="5" t="s">
        <v>132</v>
      </c>
      <c r="L149" s="6" t="s">
        <v>252</v>
      </c>
      <c r="N149" s="1" t="s">
        <v>3</v>
      </c>
      <c r="O149" s="4" t="s">
        <v>193</v>
      </c>
      <c r="P149" s="4" t="s">
        <v>513</v>
      </c>
      <c r="V149" s="1"/>
      <c r="Z149"/>
    </row>
    <row r="150" spans="2:26" x14ac:dyDescent="0.35">
      <c r="B150" s="3" t="s">
        <v>514</v>
      </c>
      <c r="C150" s="3" t="s">
        <v>515</v>
      </c>
      <c r="D150" s="3" t="s">
        <v>348</v>
      </c>
      <c r="J150" s="1" t="s">
        <v>66</v>
      </c>
      <c r="K150" s="5" t="s">
        <v>132</v>
      </c>
      <c r="L150" s="6" t="s">
        <v>255</v>
      </c>
      <c r="N150" s="1" t="s">
        <v>3</v>
      </c>
      <c r="O150" s="4" t="s">
        <v>193</v>
      </c>
      <c r="P150" s="4" t="s">
        <v>516</v>
      </c>
      <c r="V150" s="1"/>
      <c r="Z150"/>
    </row>
    <row r="151" spans="2:26" x14ac:dyDescent="0.35">
      <c r="B151" s="3" t="s">
        <v>517</v>
      </c>
      <c r="C151" s="3" t="s">
        <v>518</v>
      </c>
      <c r="D151" s="3" t="s">
        <v>351</v>
      </c>
      <c r="J151" s="1" t="s">
        <v>66</v>
      </c>
      <c r="K151" s="5" t="s">
        <v>132</v>
      </c>
      <c r="L151" s="6" t="s">
        <v>219</v>
      </c>
      <c r="N151" s="1" t="s">
        <v>3</v>
      </c>
      <c r="O151" s="4" t="s">
        <v>193</v>
      </c>
      <c r="P151" s="4" t="s">
        <v>519</v>
      </c>
      <c r="V151" s="1"/>
      <c r="Z151"/>
    </row>
    <row r="152" spans="2:26" x14ac:dyDescent="0.35">
      <c r="B152" s="3" t="s">
        <v>520</v>
      </c>
      <c r="C152" s="3" t="s">
        <v>521</v>
      </c>
      <c r="D152" s="3" t="s">
        <v>354</v>
      </c>
      <c r="J152" s="1" t="s">
        <v>66</v>
      </c>
      <c r="K152" s="5" t="s">
        <v>132</v>
      </c>
      <c r="L152" s="6" t="s">
        <v>222</v>
      </c>
      <c r="N152" s="1" t="s">
        <v>3</v>
      </c>
      <c r="O152" s="4" t="s">
        <v>193</v>
      </c>
      <c r="P152" s="4" t="s">
        <v>522</v>
      </c>
      <c r="V152" s="1"/>
      <c r="Z152"/>
    </row>
    <row r="153" spans="2:26" x14ac:dyDescent="0.35">
      <c r="B153" s="3" t="s">
        <v>523</v>
      </c>
      <c r="C153" s="3" t="s">
        <v>524</v>
      </c>
      <c r="D153" s="3" t="s">
        <v>357</v>
      </c>
      <c r="J153" s="1" t="s">
        <v>66</v>
      </c>
      <c r="K153" s="5" t="s">
        <v>132</v>
      </c>
      <c r="L153" s="6" t="s">
        <v>225</v>
      </c>
      <c r="N153" s="1" t="s">
        <v>3</v>
      </c>
      <c r="O153" s="4" t="s">
        <v>193</v>
      </c>
      <c r="P153" s="4" t="s">
        <v>525</v>
      </c>
      <c r="V153" s="1"/>
      <c r="Z153"/>
    </row>
    <row r="154" spans="2:26" x14ac:dyDescent="0.35">
      <c r="B154" s="3" t="s">
        <v>526</v>
      </c>
      <c r="C154" s="3" t="s">
        <v>527</v>
      </c>
      <c r="D154" s="3" t="s">
        <v>360</v>
      </c>
      <c r="J154" s="1" t="s">
        <v>66</v>
      </c>
      <c r="K154" s="5" t="s">
        <v>132</v>
      </c>
      <c r="L154" s="6" t="s">
        <v>228</v>
      </c>
      <c r="N154" s="1" t="s">
        <v>3</v>
      </c>
      <c r="O154" s="4" t="s">
        <v>193</v>
      </c>
      <c r="P154" s="4" t="s">
        <v>528</v>
      </c>
      <c r="V154" s="1"/>
      <c r="Z154"/>
    </row>
    <row r="155" spans="2:26" x14ac:dyDescent="0.35">
      <c r="B155" s="3" t="s">
        <v>529</v>
      </c>
      <c r="C155" s="3" t="s">
        <v>530</v>
      </c>
      <c r="D155" s="3" t="s">
        <v>363</v>
      </c>
      <c r="J155" s="1" t="s">
        <v>66</v>
      </c>
      <c r="K155" s="5" t="s">
        <v>132</v>
      </c>
      <c r="L155" s="6" t="s">
        <v>231</v>
      </c>
      <c r="N155" s="1" t="s">
        <v>3</v>
      </c>
      <c r="O155" s="4" t="s">
        <v>193</v>
      </c>
      <c r="P155" s="4" t="s">
        <v>531</v>
      </c>
      <c r="V155" s="1"/>
      <c r="Z155"/>
    </row>
    <row r="156" spans="2:26" x14ac:dyDescent="0.35">
      <c r="B156" s="3" t="s">
        <v>532</v>
      </c>
      <c r="C156" s="3" t="s">
        <v>533</v>
      </c>
      <c r="D156" s="3" t="s">
        <v>366</v>
      </c>
      <c r="J156" s="1" t="s">
        <v>66</v>
      </c>
      <c r="K156" s="5" t="s">
        <v>132</v>
      </c>
      <c r="L156" s="6" t="s">
        <v>234</v>
      </c>
      <c r="N156" s="1" t="s">
        <v>3</v>
      </c>
      <c r="O156" s="4" t="s">
        <v>193</v>
      </c>
      <c r="P156" s="4" t="s">
        <v>534</v>
      </c>
      <c r="V156" s="1"/>
      <c r="Z156"/>
    </row>
    <row r="157" spans="2:26" x14ac:dyDescent="0.35">
      <c r="B157" s="3" t="s">
        <v>535</v>
      </c>
      <c r="C157" s="3" t="s">
        <v>536</v>
      </c>
      <c r="D157" s="3" t="s">
        <v>369</v>
      </c>
      <c r="J157" s="1" t="s">
        <v>66</v>
      </c>
      <c r="K157" s="5" t="s">
        <v>132</v>
      </c>
      <c r="L157" s="6" t="s">
        <v>237</v>
      </c>
      <c r="N157" s="1" t="s">
        <v>3</v>
      </c>
      <c r="O157" s="4" t="s">
        <v>193</v>
      </c>
      <c r="P157" s="4" t="s">
        <v>537</v>
      </c>
      <c r="V157" s="1"/>
      <c r="Z157"/>
    </row>
    <row r="158" spans="2:26" x14ac:dyDescent="0.35">
      <c r="B158" s="3" t="s">
        <v>538</v>
      </c>
      <c r="C158" s="3" t="s">
        <v>539</v>
      </c>
      <c r="D158" s="3" t="s">
        <v>372</v>
      </c>
      <c r="J158" s="1" t="s">
        <v>66</v>
      </c>
      <c r="K158" s="5" t="s">
        <v>132</v>
      </c>
      <c r="L158" s="6" t="s">
        <v>240</v>
      </c>
      <c r="N158" s="1" t="s">
        <v>3</v>
      </c>
      <c r="O158" s="4" t="s">
        <v>200</v>
      </c>
      <c r="P158" s="4" t="s">
        <v>540</v>
      </c>
      <c r="V158" s="1"/>
      <c r="Z158"/>
    </row>
    <row r="159" spans="2:26" x14ac:dyDescent="0.35">
      <c r="B159" s="3" t="s">
        <v>541</v>
      </c>
      <c r="C159" s="3" t="s">
        <v>542</v>
      </c>
      <c r="D159" s="3" t="s">
        <v>375</v>
      </c>
      <c r="J159" s="1" t="s">
        <v>66</v>
      </c>
      <c r="K159" s="5" t="s">
        <v>137</v>
      </c>
      <c r="L159" s="6" t="s">
        <v>176</v>
      </c>
      <c r="N159" s="1" t="s">
        <v>3</v>
      </c>
      <c r="O159" s="4" t="s">
        <v>200</v>
      </c>
      <c r="P159" s="4" t="s">
        <v>543</v>
      </c>
      <c r="V159" s="1"/>
      <c r="Z159"/>
    </row>
    <row r="160" spans="2:26" x14ac:dyDescent="0.35">
      <c r="B160" s="3" t="s">
        <v>544</v>
      </c>
      <c r="C160" s="3" t="s">
        <v>545</v>
      </c>
      <c r="D160" s="3" t="s">
        <v>378</v>
      </c>
      <c r="J160" s="1" t="s">
        <v>66</v>
      </c>
      <c r="K160" s="5" t="s">
        <v>137</v>
      </c>
      <c r="L160" s="6" t="s">
        <v>179</v>
      </c>
      <c r="N160" s="1" t="s">
        <v>3</v>
      </c>
      <c r="O160" s="4" t="s">
        <v>200</v>
      </c>
      <c r="P160" s="4" t="s">
        <v>546</v>
      </c>
      <c r="V160" s="1"/>
      <c r="Z160"/>
    </row>
    <row r="161" spans="2:26" x14ac:dyDescent="0.35">
      <c r="B161" s="3" t="s">
        <v>547</v>
      </c>
      <c r="C161" s="3" t="s">
        <v>548</v>
      </c>
      <c r="D161" s="3" t="s">
        <v>381</v>
      </c>
      <c r="J161" s="1" t="s">
        <v>66</v>
      </c>
      <c r="K161" s="5" t="s">
        <v>137</v>
      </c>
      <c r="L161" s="6" t="s">
        <v>182</v>
      </c>
      <c r="N161" s="1" t="s">
        <v>3</v>
      </c>
      <c r="O161" s="4" t="s">
        <v>200</v>
      </c>
      <c r="P161" s="4" t="s">
        <v>549</v>
      </c>
      <c r="V161" s="1"/>
      <c r="Z161"/>
    </row>
    <row r="162" spans="2:26" x14ac:dyDescent="0.35">
      <c r="B162" s="3" t="s">
        <v>550</v>
      </c>
      <c r="C162" s="3" t="s">
        <v>551</v>
      </c>
      <c r="D162" s="3" t="s">
        <v>384</v>
      </c>
      <c r="J162" s="1" t="s">
        <v>66</v>
      </c>
      <c r="K162" s="5" t="s">
        <v>137</v>
      </c>
      <c r="L162" s="6" t="s">
        <v>185</v>
      </c>
      <c r="N162" s="1" t="s">
        <v>3</v>
      </c>
      <c r="O162" s="4" t="s">
        <v>200</v>
      </c>
      <c r="P162" s="4" t="s">
        <v>552</v>
      </c>
      <c r="V162" s="1"/>
      <c r="Z162"/>
    </row>
    <row r="163" spans="2:26" x14ac:dyDescent="0.35">
      <c r="B163" s="3" t="s">
        <v>553</v>
      </c>
      <c r="C163" s="3" t="s">
        <v>554</v>
      </c>
      <c r="D163" s="3" t="s">
        <v>387</v>
      </c>
      <c r="J163" s="1" t="s">
        <v>66</v>
      </c>
      <c r="K163" s="5" t="s">
        <v>137</v>
      </c>
      <c r="L163" s="6" t="s">
        <v>188</v>
      </c>
      <c r="N163" s="1" t="s">
        <v>3</v>
      </c>
      <c r="O163" s="4" t="s">
        <v>200</v>
      </c>
      <c r="P163" s="4" t="s">
        <v>555</v>
      </c>
      <c r="V163" s="1"/>
      <c r="Z163"/>
    </row>
    <row r="164" spans="2:26" x14ac:dyDescent="0.35">
      <c r="B164" s="3" t="s">
        <v>556</v>
      </c>
      <c r="C164" s="3" t="s">
        <v>557</v>
      </c>
      <c r="D164" s="3" t="s">
        <v>390</v>
      </c>
      <c r="J164" s="1" t="s">
        <v>66</v>
      </c>
      <c r="K164" s="5" t="s">
        <v>137</v>
      </c>
      <c r="L164" s="6" t="s">
        <v>191</v>
      </c>
      <c r="N164" s="1" t="s">
        <v>3</v>
      </c>
      <c r="O164" s="4" t="s">
        <v>200</v>
      </c>
      <c r="P164" s="4" t="s">
        <v>558</v>
      </c>
      <c r="V164" s="1"/>
      <c r="Z164"/>
    </row>
    <row r="165" spans="2:26" x14ac:dyDescent="0.35">
      <c r="B165" s="3" t="s">
        <v>559</v>
      </c>
      <c r="C165" s="3" t="s">
        <v>560</v>
      </c>
      <c r="D165" s="3" t="s">
        <v>393</v>
      </c>
      <c r="J165" s="1" t="s">
        <v>66</v>
      </c>
      <c r="K165" s="5" t="s">
        <v>137</v>
      </c>
      <c r="L165" s="6" t="s">
        <v>243</v>
      </c>
      <c r="N165" s="1" t="s">
        <v>3</v>
      </c>
      <c r="O165" s="4" t="s">
        <v>147</v>
      </c>
      <c r="P165" s="4" t="s">
        <v>561</v>
      </c>
      <c r="V165" s="1"/>
      <c r="Z165"/>
    </row>
    <row r="166" spans="2:26" x14ac:dyDescent="0.35">
      <c r="B166" s="3" t="s">
        <v>562</v>
      </c>
      <c r="C166" s="3" t="s">
        <v>563</v>
      </c>
      <c r="D166" s="3" t="s">
        <v>396</v>
      </c>
      <c r="J166" s="1" t="s">
        <v>66</v>
      </c>
      <c r="K166" s="5" t="s">
        <v>137</v>
      </c>
      <c r="L166" s="6" t="s">
        <v>195</v>
      </c>
      <c r="N166" s="1" t="s">
        <v>3</v>
      </c>
      <c r="O166" s="4" t="s">
        <v>147</v>
      </c>
      <c r="P166" s="4" t="s">
        <v>564</v>
      </c>
      <c r="V166" s="1"/>
      <c r="Z166"/>
    </row>
    <row r="167" spans="2:26" x14ac:dyDescent="0.35">
      <c r="B167" s="3" t="s">
        <v>565</v>
      </c>
      <c r="C167" s="3" t="s">
        <v>566</v>
      </c>
      <c r="D167" s="3" t="s">
        <v>399</v>
      </c>
      <c r="J167" s="1" t="s">
        <v>66</v>
      </c>
      <c r="K167" s="5" t="s">
        <v>137</v>
      </c>
      <c r="L167" s="6" t="s">
        <v>198</v>
      </c>
      <c r="N167" s="1" t="s">
        <v>3</v>
      </c>
      <c r="O167" s="4" t="s">
        <v>147</v>
      </c>
      <c r="P167" s="4" t="s">
        <v>567</v>
      </c>
      <c r="V167" s="1"/>
      <c r="Z167"/>
    </row>
    <row r="168" spans="2:26" x14ac:dyDescent="0.35">
      <c r="B168" s="3" t="s">
        <v>568</v>
      </c>
      <c r="C168" s="3" t="s">
        <v>569</v>
      </c>
      <c r="D168" s="3" t="s">
        <v>402</v>
      </c>
      <c r="J168" s="1" t="s">
        <v>66</v>
      </c>
      <c r="K168" s="5" t="s">
        <v>137</v>
      </c>
      <c r="L168" s="6" t="s">
        <v>202</v>
      </c>
      <c r="N168" s="1" t="s">
        <v>3</v>
      </c>
      <c r="O168" s="4" t="s">
        <v>147</v>
      </c>
      <c r="P168" s="4" t="s">
        <v>570</v>
      </c>
      <c r="V168" s="1"/>
      <c r="Z168"/>
    </row>
    <row r="169" spans="2:26" x14ac:dyDescent="0.35">
      <c r="B169" s="3" t="s">
        <v>571</v>
      </c>
      <c r="C169" s="3" t="s">
        <v>572</v>
      </c>
      <c r="D169" s="3" t="s">
        <v>405</v>
      </c>
      <c r="J169" s="1" t="s">
        <v>66</v>
      </c>
      <c r="K169" s="5" t="s">
        <v>137</v>
      </c>
      <c r="L169" s="6" t="s">
        <v>206</v>
      </c>
      <c r="N169" s="1" t="s">
        <v>3</v>
      </c>
      <c r="O169" s="4" t="s">
        <v>147</v>
      </c>
      <c r="P169" s="4" t="s">
        <v>573</v>
      </c>
      <c r="V169" s="1"/>
      <c r="Z169"/>
    </row>
    <row r="170" spans="2:26" x14ac:dyDescent="0.35">
      <c r="B170" s="3" t="s">
        <v>574</v>
      </c>
      <c r="C170" s="3" t="s">
        <v>575</v>
      </c>
      <c r="D170" s="3" t="s">
        <v>408</v>
      </c>
      <c r="J170" s="1" t="s">
        <v>66</v>
      </c>
      <c r="K170" s="5" t="s">
        <v>137</v>
      </c>
      <c r="L170" s="6" t="s">
        <v>209</v>
      </c>
      <c r="N170" s="1" t="s">
        <v>3</v>
      </c>
      <c r="O170" s="4" t="s">
        <v>150</v>
      </c>
      <c r="P170" s="4" t="s">
        <v>576</v>
      </c>
      <c r="V170" s="1"/>
      <c r="Z170"/>
    </row>
    <row r="171" spans="2:26" x14ac:dyDescent="0.35">
      <c r="B171" s="3" t="s">
        <v>577</v>
      </c>
      <c r="C171" s="3" t="s">
        <v>578</v>
      </c>
      <c r="D171" s="3" t="s">
        <v>411</v>
      </c>
      <c r="J171" s="1" t="s">
        <v>66</v>
      </c>
      <c r="K171" s="5" t="s">
        <v>137</v>
      </c>
      <c r="L171" s="6" t="s">
        <v>212</v>
      </c>
      <c r="N171" s="1" t="s">
        <v>3</v>
      </c>
      <c r="O171" s="4" t="s">
        <v>150</v>
      </c>
      <c r="P171" s="4" t="s">
        <v>579</v>
      </c>
      <c r="V171" s="1"/>
      <c r="Z171"/>
    </row>
    <row r="172" spans="2:26" x14ac:dyDescent="0.35">
      <c r="B172" s="3" t="s">
        <v>580</v>
      </c>
      <c r="C172" s="3" t="s">
        <v>581</v>
      </c>
      <c r="D172" s="3" t="s">
        <v>414</v>
      </c>
      <c r="J172" s="1" t="s">
        <v>66</v>
      </c>
      <c r="K172" s="5" t="s">
        <v>137</v>
      </c>
      <c r="L172" s="6" t="s">
        <v>246</v>
      </c>
      <c r="N172" s="1" t="s">
        <v>3</v>
      </c>
      <c r="O172" s="4" t="s">
        <v>150</v>
      </c>
      <c r="P172" s="4" t="s">
        <v>582</v>
      </c>
      <c r="V172" s="1"/>
      <c r="Z172"/>
    </row>
    <row r="173" spans="2:26" x14ac:dyDescent="0.35">
      <c r="B173" s="3" t="s">
        <v>583</v>
      </c>
      <c r="C173" s="3" t="s">
        <v>584</v>
      </c>
      <c r="D173" s="3" t="s">
        <v>417</v>
      </c>
      <c r="J173" s="1" t="s">
        <v>66</v>
      </c>
      <c r="K173" s="5" t="s">
        <v>137</v>
      </c>
      <c r="L173" s="6" t="s">
        <v>137</v>
      </c>
      <c r="N173" s="1" t="s">
        <v>3</v>
      </c>
      <c r="O173" s="4" t="s">
        <v>150</v>
      </c>
      <c r="P173" s="4" t="s">
        <v>585</v>
      </c>
      <c r="V173" s="1"/>
      <c r="Z173"/>
    </row>
    <row r="174" spans="2:26" x14ac:dyDescent="0.35">
      <c r="B174" s="3" t="s">
        <v>586</v>
      </c>
      <c r="C174" s="3" t="s">
        <v>587</v>
      </c>
      <c r="D174" s="3" t="s">
        <v>420</v>
      </c>
      <c r="J174" s="1" t="s">
        <v>66</v>
      </c>
      <c r="K174" s="5" t="s">
        <v>137</v>
      </c>
      <c r="L174" s="6" t="s">
        <v>216</v>
      </c>
      <c r="N174" s="1" t="s">
        <v>3</v>
      </c>
      <c r="O174" s="4" t="s">
        <v>150</v>
      </c>
      <c r="P174" s="4" t="s">
        <v>588</v>
      </c>
      <c r="V174" s="1"/>
      <c r="Z174"/>
    </row>
    <row r="175" spans="2:26" x14ac:dyDescent="0.35">
      <c r="B175" s="3" t="s">
        <v>589</v>
      </c>
      <c r="C175" s="3" t="s">
        <v>590</v>
      </c>
      <c r="D175" s="3" t="s">
        <v>423</v>
      </c>
      <c r="J175" s="1" t="s">
        <v>66</v>
      </c>
      <c r="K175" s="5" t="s">
        <v>137</v>
      </c>
      <c r="L175" s="6" t="s">
        <v>219</v>
      </c>
      <c r="N175" s="1" t="s">
        <v>3</v>
      </c>
      <c r="O175" s="4" t="s">
        <v>150</v>
      </c>
      <c r="P175" s="4" t="s">
        <v>591</v>
      </c>
      <c r="V175" s="1"/>
      <c r="Z175"/>
    </row>
    <row r="176" spans="2:26" x14ac:dyDescent="0.35">
      <c r="B176" s="3" t="s">
        <v>592</v>
      </c>
      <c r="C176" s="3" t="s">
        <v>593</v>
      </c>
      <c r="D176" s="3" t="s">
        <v>426</v>
      </c>
      <c r="J176" s="1" t="s">
        <v>66</v>
      </c>
      <c r="K176" s="5" t="s">
        <v>137</v>
      </c>
      <c r="L176" s="6" t="s">
        <v>222</v>
      </c>
      <c r="N176" s="1" t="s">
        <v>3</v>
      </c>
      <c r="O176" s="4" t="s">
        <v>150</v>
      </c>
      <c r="P176" s="4" t="s">
        <v>594</v>
      </c>
      <c r="V176" s="1"/>
      <c r="Z176"/>
    </row>
    <row r="177" spans="2:26" x14ac:dyDescent="0.35">
      <c r="B177" s="3" t="s">
        <v>595</v>
      </c>
      <c r="C177" s="3" t="s">
        <v>596</v>
      </c>
      <c r="D177" s="3" t="s">
        <v>429</v>
      </c>
      <c r="J177" s="1" t="s">
        <v>66</v>
      </c>
      <c r="K177" s="5" t="s">
        <v>137</v>
      </c>
      <c r="L177" s="6" t="s">
        <v>225</v>
      </c>
      <c r="N177" s="1" t="s">
        <v>3</v>
      </c>
      <c r="O177" s="4" t="s">
        <v>152</v>
      </c>
      <c r="P177" s="4" t="s">
        <v>597</v>
      </c>
      <c r="V177" s="1"/>
      <c r="Z177"/>
    </row>
    <row r="178" spans="2:26" x14ac:dyDescent="0.35">
      <c r="B178" s="3" t="s">
        <v>598</v>
      </c>
      <c r="C178" s="3" t="s">
        <v>599</v>
      </c>
      <c r="D178" s="3" t="s">
        <v>432</v>
      </c>
      <c r="J178" s="1" t="s">
        <v>66</v>
      </c>
      <c r="K178" s="5" t="s">
        <v>137</v>
      </c>
      <c r="L178" s="6" t="s">
        <v>228</v>
      </c>
      <c r="N178" s="1" t="s">
        <v>3</v>
      </c>
      <c r="O178" s="4" t="s">
        <v>152</v>
      </c>
      <c r="P178" s="4" t="s">
        <v>600</v>
      </c>
      <c r="V178" s="1"/>
      <c r="Z178"/>
    </row>
    <row r="179" spans="2:26" x14ac:dyDescent="0.35">
      <c r="B179" s="3" t="s">
        <v>601</v>
      </c>
      <c r="C179" s="3" t="s">
        <v>602</v>
      </c>
      <c r="D179" s="3" t="s">
        <v>435</v>
      </c>
      <c r="J179" s="1" t="s">
        <v>66</v>
      </c>
      <c r="K179" s="5" t="s">
        <v>137</v>
      </c>
      <c r="L179" s="6" t="s">
        <v>231</v>
      </c>
      <c r="N179" s="1" t="s">
        <v>3</v>
      </c>
      <c r="O179" s="4" t="s">
        <v>152</v>
      </c>
      <c r="P179" s="4" t="s">
        <v>603</v>
      </c>
      <c r="V179" s="1"/>
      <c r="Z179"/>
    </row>
    <row r="180" spans="2:26" x14ac:dyDescent="0.35">
      <c r="B180" s="3" t="s">
        <v>604</v>
      </c>
      <c r="C180" s="3" t="s">
        <v>605</v>
      </c>
      <c r="D180" s="3" t="s">
        <v>438</v>
      </c>
      <c r="J180" s="1" t="s">
        <v>66</v>
      </c>
      <c r="K180" s="5" t="s">
        <v>137</v>
      </c>
      <c r="L180" s="6" t="s">
        <v>234</v>
      </c>
      <c r="N180" s="1" t="s">
        <v>3</v>
      </c>
      <c r="O180" s="4" t="s">
        <v>155</v>
      </c>
      <c r="P180" s="4" t="s">
        <v>606</v>
      </c>
      <c r="V180" s="1"/>
      <c r="Z180"/>
    </row>
    <row r="181" spans="2:26" x14ac:dyDescent="0.35">
      <c r="B181" s="3" t="s">
        <v>607</v>
      </c>
      <c r="C181" s="3" t="s">
        <v>608</v>
      </c>
      <c r="D181" s="3" t="s">
        <v>441</v>
      </c>
      <c r="J181" s="1" t="s">
        <v>66</v>
      </c>
      <c r="K181" s="5" t="s">
        <v>137</v>
      </c>
      <c r="L181" s="6" t="s">
        <v>237</v>
      </c>
      <c r="N181" s="1" t="s">
        <v>3</v>
      </c>
      <c r="O181" s="4" t="s">
        <v>155</v>
      </c>
      <c r="P181" s="4" t="s">
        <v>609</v>
      </c>
      <c r="V181" s="1"/>
      <c r="Z181"/>
    </row>
    <row r="182" spans="2:26" x14ac:dyDescent="0.35">
      <c r="B182" s="3" t="s">
        <v>610</v>
      </c>
      <c r="C182" s="3" t="s">
        <v>611</v>
      </c>
      <c r="D182" s="3" t="s">
        <v>444</v>
      </c>
      <c r="J182" s="1" t="s">
        <v>66</v>
      </c>
      <c r="K182" s="5" t="s">
        <v>137</v>
      </c>
      <c r="L182" s="6" t="s">
        <v>240</v>
      </c>
      <c r="N182" s="1" t="s">
        <v>3</v>
      </c>
      <c r="O182" s="4" t="s">
        <v>155</v>
      </c>
      <c r="P182" s="4" t="s">
        <v>612</v>
      </c>
      <c r="V182" s="1"/>
      <c r="Z182"/>
    </row>
    <row r="183" spans="2:26" x14ac:dyDescent="0.35">
      <c r="B183" s="3" t="s">
        <v>613</v>
      </c>
      <c r="C183" s="3" t="s">
        <v>614</v>
      </c>
      <c r="D183" s="3" t="s">
        <v>447</v>
      </c>
      <c r="J183" s="1" t="s">
        <v>66</v>
      </c>
      <c r="K183" s="5" t="s">
        <v>141</v>
      </c>
      <c r="L183" s="6" t="s">
        <v>249</v>
      </c>
      <c r="N183" s="1" t="s">
        <v>3</v>
      </c>
      <c r="O183" s="4" t="s">
        <v>155</v>
      </c>
      <c r="P183" s="4" t="s">
        <v>615</v>
      </c>
      <c r="V183" s="1"/>
      <c r="Z183"/>
    </row>
    <row r="184" spans="2:26" x14ac:dyDescent="0.35">
      <c r="B184" s="3" t="s">
        <v>616</v>
      </c>
      <c r="C184" s="3" t="s">
        <v>617</v>
      </c>
      <c r="D184" s="3" t="s">
        <v>450</v>
      </c>
      <c r="J184" s="1" t="s">
        <v>66</v>
      </c>
      <c r="K184" s="5" t="s">
        <v>141</v>
      </c>
      <c r="L184" s="6" t="s">
        <v>176</v>
      </c>
      <c r="N184" s="1" t="s">
        <v>3</v>
      </c>
      <c r="O184" s="4" t="s">
        <v>155</v>
      </c>
      <c r="P184" s="4" t="s">
        <v>618</v>
      </c>
      <c r="V184" s="1"/>
      <c r="Z184"/>
    </row>
    <row r="185" spans="2:26" x14ac:dyDescent="0.35">
      <c r="B185" s="3" t="s">
        <v>619</v>
      </c>
      <c r="C185" s="3" t="s">
        <v>620</v>
      </c>
      <c r="D185" s="3" t="s">
        <v>453</v>
      </c>
      <c r="J185" s="1" t="s">
        <v>66</v>
      </c>
      <c r="K185" s="5" t="s">
        <v>141</v>
      </c>
      <c r="L185" s="6" t="s">
        <v>179</v>
      </c>
      <c r="N185" s="1" t="s">
        <v>3</v>
      </c>
      <c r="O185" s="4" t="s">
        <v>155</v>
      </c>
      <c r="P185" s="4" t="s">
        <v>621</v>
      </c>
      <c r="V185" s="1"/>
      <c r="Z185"/>
    </row>
    <row r="186" spans="2:26" x14ac:dyDescent="0.35">
      <c r="B186" s="3" t="s">
        <v>622</v>
      </c>
      <c r="C186" s="3" t="s">
        <v>623</v>
      </c>
      <c r="D186" s="3" t="s">
        <v>456</v>
      </c>
      <c r="J186" s="1" t="s">
        <v>66</v>
      </c>
      <c r="K186" s="5" t="s">
        <v>141</v>
      </c>
      <c r="L186" s="6" t="s">
        <v>182</v>
      </c>
      <c r="N186" s="1" t="s">
        <v>3</v>
      </c>
      <c r="O186" s="4" t="s">
        <v>157</v>
      </c>
      <c r="P186" s="4" t="s">
        <v>624</v>
      </c>
      <c r="V186" s="1"/>
      <c r="Z186"/>
    </row>
    <row r="187" spans="2:26" x14ac:dyDescent="0.35">
      <c r="B187" s="3" t="s">
        <v>625</v>
      </c>
      <c r="C187" s="3" t="s">
        <v>626</v>
      </c>
      <c r="D187" s="3" t="s">
        <v>459</v>
      </c>
      <c r="J187" s="1" t="s">
        <v>66</v>
      </c>
      <c r="K187" s="5" t="s">
        <v>141</v>
      </c>
      <c r="L187" s="6" t="s">
        <v>185</v>
      </c>
      <c r="N187" s="1" t="s">
        <v>3</v>
      </c>
      <c r="O187" s="4" t="s">
        <v>157</v>
      </c>
      <c r="P187" s="4" t="s">
        <v>627</v>
      </c>
      <c r="V187" s="1"/>
      <c r="Z187"/>
    </row>
    <row r="188" spans="2:26" x14ac:dyDescent="0.35">
      <c r="B188" s="3" t="s">
        <v>628</v>
      </c>
      <c r="C188" s="3" t="s">
        <v>629</v>
      </c>
      <c r="D188" s="3" t="s">
        <v>462</v>
      </c>
      <c r="J188" s="1" t="s">
        <v>66</v>
      </c>
      <c r="K188" s="5" t="s">
        <v>141</v>
      </c>
      <c r="L188" s="6" t="s">
        <v>188</v>
      </c>
      <c r="N188" s="1" t="s">
        <v>3</v>
      </c>
      <c r="O188" s="4" t="s">
        <v>157</v>
      </c>
      <c r="P188" s="4" t="s">
        <v>630</v>
      </c>
      <c r="V188" s="1"/>
      <c r="Z188"/>
    </row>
    <row r="189" spans="2:26" x14ac:dyDescent="0.35">
      <c r="B189" s="3" t="s">
        <v>631</v>
      </c>
      <c r="C189" s="3" t="s">
        <v>632</v>
      </c>
      <c r="D189" s="3" t="s">
        <v>465</v>
      </c>
      <c r="J189" s="1" t="s">
        <v>66</v>
      </c>
      <c r="K189" s="5" t="s">
        <v>141</v>
      </c>
      <c r="L189" s="6" t="s">
        <v>191</v>
      </c>
      <c r="N189" s="1" t="s">
        <v>3</v>
      </c>
      <c r="O189" s="4" t="s">
        <v>159</v>
      </c>
      <c r="P189" s="4" t="s">
        <v>633</v>
      </c>
      <c r="V189" s="1"/>
      <c r="Z189"/>
    </row>
    <row r="190" spans="2:26" x14ac:dyDescent="0.35">
      <c r="B190" s="3" t="s">
        <v>634</v>
      </c>
      <c r="C190" s="3" t="s">
        <v>635</v>
      </c>
      <c r="D190" s="3" t="s">
        <v>468</v>
      </c>
      <c r="J190" s="1" t="s">
        <v>66</v>
      </c>
      <c r="K190" s="5" t="s">
        <v>141</v>
      </c>
      <c r="L190" s="6" t="s">
        <v>243</v>
      </c>
      <c r="N190" s="1" t="s">
        <v>3</v>
      </c>
      <c r="O190" s="4" t="s">
        <v>159</v>
      </c>
      <c r="P190" s="4" t="s">
        <v>636</v>
      </c>
      <c r="V190" s="1"/>
      <c r="Z190"/>
    </row>
    <row r="191" spans="2:26" x14ac:dyDescent="0.35">
      <c r="B191" s="3" t="s">
        <v>637</v>
      </c>
      <c r="C191" s="3" t="s">
        <v>638</v>
      </c>
      <c r="D191" s="3" t="s">
        <v>471</v>
      </c>
      <c r="J191" s="1" t="s">
        <v>66</v>
      </c>
      <c r="K191" s="5" t="s">
        <v>141</v>
      </c>
      <c r="L191" s="6" t="s">
        <v>195</v>
      </c>
      <c r="N191" s="1" t="s">
        <v>3</v>
      </c>
      <c r="O191" s="4" t="s">
        <v>162</v>
      </c>
      <c r="P191" s="4" t="s">
        <v>639</v>
      </c>
      <c r="V191" s="1"/>
      <c r="Z191"/>
    </row>
    <row r="192" spans="2:26" x14ac:dyDescent="0.35">
      <c r="B192" s="3" t="s">
        <v>640</v>
      </c>
      <c r="C192" s="3" t="s">
        <v>641</v>
      </c>
      <c r="D192" s="3" t="s">
        <v>474</v>
      </c>
      <c r="J192" s="1" t="s">
        <v>66</v>
      </c>
      <c r="K192" s="5" t="s">
        <v>141</v>
      </c>
      <c r="L192" s="6" t="s">
        <v>198</v>
      </c>
      <c r="N192" s="1" t="s">
        <v>3</v>
      </c>
      <c r="O192" s="4" t="s">
        <v>162</v>
      </c>
      <c r="P192" s="4" t="s">
        <v>642</v>
      </c>
      <c r="V192" s="1"/>
      <c r="Z192"/>
    </row>
    <row r="193" spans="2:27" x14ac:dyDescent="0.35">
      <c r="B193" s="3" t="s">
        <v>643</v>
      </c>
      <c r="C193" s="3" t="s">
        <v>644</v>
      </c>
      <c r="D193" s="3" t="s">
        <v>477</v>
      </c>
      <c r="J193" s="1" t="s">
        <v>66</v>
      </c>
      <c r="K193" s="5" t="s">
        <v>141</v>
      </c>
      <c r="L193" s="6" t="s">
        <v>202</v>
      </c>
      <c r="N193" s="1" t="s">
        <v>3</v>
      </c>
      <c r="O193" s="4" t="s">
        <v>162</v>
      </c>
      <c r="P193" s="4" t="s">
        <v>645</v>
      </c>
      <c r="V193" s="1"/>
      <c r="Z193"/>
    </row>
    <row r="194" spans="2:27" x14ac:dyDescent="0.35">
      <c r="B194" s="3" t="s">
        <v>646</v>
      </c>
      <c r="C194" s="3" t="s">
        <v>647</v>
      </c>
      <c r="D194" s="3" t="s">
        <v>480</v>
      </c>
      <c r="J194" s="1" t="s">
        <v>66</v>
      </c>
      <c r="K194" s="5" t="s">
        <v>141</v>
      </c>
      <c r="L194" s="6" t="s">
        <v>206</v>
      </c>
      <c r="N194" s="1" t="s">
        <v>3</v>
      </c>
      <c r="O194" s="4" t="s">
        <v>162</v>
      </c>
      <c r="P194" s="4" t="s">
        <v>648</v>
      </c>
      <c r="V194" s="1"/>
      <c r="Z194"/>
    </row>
    <row r="195" spans="2:27" x14ac:dyDescent="0.35">
      <c r="B195" s="3" t="s">
        <v>649</v>
      </c>
      <c r="C195" s="3" t="s">
        <v>650</v>
      </c>
      <c r="D195" s="3" t="s">
        <v>483</v>
      </c>
      <c r="J195" s="1" t="s">
        <v>66</v>
      </c>
      <c r="K195" s="5" t="s">
        <v>141</v>
      </c>
      <c r="L195" s="6" t="s">
        <v>209</v>
      </c>
      <c r="N195" s="1" t="s">
        <v>3</v>
      </c>
      <c r="O195" s="4" t="s">
        <v>162</v>
      </c>
      <c r="P195" s="4" t="s">
        <v>651</v>
      </c>
      <c r="V195" s="1"/>
      <c r="Z195"/>
    </row>
    <row r="196" spans="2:27" x14ac:dyDescent="0.35">
      <c r="B196" s="3" t="s">
        <v>652</v>
      </c>
      <c r="C196" s="3" t="s">
        <v>653</v>
      </c>
      <c r="D196" s="3" t="s">
        <v>486</v>
      </c>
      <c r="J196" s="1" t="s">
        <v>66</v>
      </c>
      <c r="K196" s="5" t="s">
        <v>141</v>
      </c>
      <c r="L196" s="6" t="s">
        <v>212</v>
      </c>
      <c r="N196" s="1" t="s">
        <v>3</v>
      </c>
      <c r="O196" s="4" t="s">
        <v>164</v>
      </c>
      <c r="P196" s="4" t="s">
        <v>417</v>
      </c>
      <c r="V196" s="1"/>
      <c r="Z196"/>
    </row>
    <row r="197" spans="2:27" x14ac:dyDescent="0.35">
      <c r="B197" s="3" t="s">
        <v>654</v>
      </c>
      <c r="C197" s="3" t="s">
        <v>655</v>
      </c>
      <c r="D197" s="3" t="s">
        <v>489</v>
      </c>
      <c r="J197" s="1" t="s">
        <v>66</v>
      </c>
      <c r="K197" s="5" t="s">
        <v>141</v>
      </c>
      <c r="L197" s="6" t="s">
        <v>252</v>
      </c>
      <c r="N197" s="1" t="s">
        <v>3</v>
      </c>
      <c r="O197" s="4" t="s">
        <v>164</v>
      </c>
      <c r="P197" s="4" t="s">
        <v>420</v>
      </c>
      <c r="V197" s="1"/>
      <c r="Z197"/>
    </row>
    <row r="198" spans="2:27" x14ac:dyDescent="0.35">
      <c r="B198" s="3" t="s">
        <v>656</v>
      </c>
      <c r="C198" s="3" t="s">
        <v>657</v>
      </c>
      <c r="D198" s="3" t="s">
        <v>492</v>
      </c>
      <c r="J198" s="1" t="s">
        <v>66</v>
      </c>
      <c r="K198" s="5" t="s">
        <v>141</v>
      </c>
      <c r="L198" s="6" t="s">
        <v>246</v>
      </c>
      <c r="N198" s="1" t="s">
        <v>3</v>
      </c>
      <c r="O198" s="4" t="s">
        <v>164</v>
      </c>
      <c r="P198" s="4" t="s">
        <v>423</v>
      </c>
      <c r="V198" s="1"/>
      <c r="Z198"/>
    </row>
    <row r="199" spans="2:27" x14ac:dyDescent="0.35">
      <c r="B199" s="3" t="s">
        <v>658</v>
      </c>
      <c r="C199" s="3" t="s">
        <v>659</v>
      </c>
      <c r="D199" s="3" t="s">
        <v>495</v>
      </c>
      <c r="J199" s="1" t="s">
        <v>66</v>
      </c>
      <c r="K199" s="5" t="s">
        <v>141</v>
      </c>
      <c r="L199" s="6" t="s">
        <v>137</v>
      </c>
      <c r="N199" s="1" t="s">
        <v>66</v>
      </c>
      <c r="O199" s="6" t="s">
        <v>202</v>
      </c>
      <c r="P199" s="6" t="s">
        <v>258</v>
      </c>
      <c r="V199" s="1"/>
      <c r="Z199"/>
      <c r="AA199"/>
    </row>
    <row r="200" spans="2:27" x14ac:dyDescent="0.35">
      <c r="B200" s="3" t="s">
        <v>660</v>
      </c>
      <c r="C200" s="3" t="s">
        <v>661</v>
      </c>
      <c r="D200" s="3" t="s">
        <v>498</v>
      </c>
      <c r="J200" s="1" t="s">
        <v>66</v>
      </c>
      <c r="K200" s="5" t="s">
        <v>141</v>
      </c>
      <c r="L200" s="6" t="s">
        <v>216</v>
      </c>
      <c r="N200" s="1" t="s">
        <v>66</v>
      </c>
      <c r="O200" s="6" t="s">
        <v>202</v>
      </c>
      <c r="P200" s="6" t="s">
        <v>261</v>
      </c>
      <c r="V200" s="1"/>
      <c r="Z200"/>
      <c r="AA200"/>
    </row>
    <row r="201" spans="2:27" x14ac:dyDescent="0.35">
      <c r="B201" s="3" t="s">
        <v>662</v>
      </c>
      <c r="C201" s="3" t="s">
        <v>663</v>
      </c>
      <c r="D201" s="3" t="s">
        <v>501</v>
      </c>
      <c r="J201" s="1" t="s">
        <v>66</v>
      </c>
      <c r="K201" s="5" t="s">
        <v>141</v>
      </c>
      <c r="L201" s="6" t="s">
        <v>255</v>
      </c>
      <c r="N201" s="1" t="s">
        <v>66</v>
      </c>
      <c r="O201" s="6" t="s">
        <v>202</v>
      </c>
      <c r="P201" s="6" t="s">
        <v>264</v>
      </c>
      <c r="V201" s="1"/>
      <c r="Z201"/>
      <c r="AA201"/>
    </row>
    <row r="202" spans="2:27" x14ac:dyDescent="0.35">
      <c r="B202" s="3" t="s">
        <v>664</v>
      </c>
      <c r="C202" s="3" t="s">
        <v>665</v>
      </c>
      <c r="D202" s="3" t="s">
        <v>504</v>
      </c>
      <c r="J202" s="1" t="s">
        <v>66</v>
      </c>
      <c r="K202" s="5" t="s">
        <v>141</v>
      </c>
      <c r="L202" s="6" t="s">
        <v>219</v>
      </c>
      <c r="N202" s="1" t="s">
        <v>66</v>
      </c>
      <c r="O202" s="6" t="s">
        <v>202</v>
      </c>
      <c r="P202" s="6" t="s">
        <v>267</v>
      </c>
      <c r="V202" s="1"/>
      <c r="Z202"/>
      <c r="AA202"/>
    </row>
    <row r="203" spans="2:27" x14ac:dyDescent="0.35">
      <c r="B203" s="3" t="s">
        <v>666</v>
      </c>
      <c r="C203" s="3" t="s">
        <v>667</v>
      </c>
      <c r="D203" s="3" t="s">
        <v>507</v>
      </c>
      <c r="J203" s="1" t="s">
        <v>66</v>
      </c>
      <c r="K203" s="5" t="s">
        <v>141</v>
      </c>
      <c r="L203" s="6" t="s">
        <v>222</v>
      </c>
      <c r="N203" s="1" t="s">
        <v>66</v>
      </c>
      <c r="O203" s="6" t="s">
        <v>202</v>
      </c>
      <c r="P203" s="6" t="s">
        <v>270</v>
      </c>
      <c r="V203" s="1"/>
      <c r="Z203"/>
      <c r="AA203"/>
    </row>
    <row r="204" spans="2:27" x14ac:dyDescent="0.35">
      <c r="B204" s="3" t="s">
        <v>668</v>
      </c>
      <c r="C204" s="3" t="s">
        <v>669</v>
      </c>
      <c r="D204" s="3" t="s">
        <v>510</v>
      </c>
      <c r="J204" s="1" t="s">
        <v>66</v>
      </c>
      <c r="K204" s="5" t="s">
        <v>141</v>
      </c>
      <c r="L204" s="6" t="s">
        <v>225</v>
      </c>
      <c r="N204" s="1" t="s">
        <v>66</v>
      </c>
      <c r="O204" s="6" t="s">
        <v>202</v>
      </c>
      <c r="P204" s="6" t="s">
        <v>273</v>
      </c>
      <c r="V204" s="1"/>
      <c r="Z204"/>
      <c r="AA204"/>
    </row>
    <row r="205" spans="2:27" x14ac:dyDescent="0.35">
      <c r="B205" s="3" t="s">
        <v>670</v>
      </c>
      <c r="C205" s="3" t="s">
        <v>671</v>
      </c>
      <c r="D205" s="3" t="s">
        <v>513</v>
      </c>
      <c r="J205" s="1" t="s">
        <v>66</v>
      </c>
      <c r="K205" s="5" t="s">
        <v>141</v>
      </c>
      <c r="L205" s="6" t="s">
        <v>228</v>
      </c>
      <c r="N205" s="1" t="s">
        <v>66</v>
      </c>
      <c r="O205" s="6" t="s">
        <v>202</v>
      </c>
      <c r="P205" s="6" t="s">
        <v>276</v>
      </c>
      <c r="V205" s="1"/>
      <c r="Z205"/>
      <c r="AA205"/>
    </row>
    <row r="206" spans="2:27" x14ac:dyDescent="0.35">
      <c r="B206" s="3" t="s">
        <v>672</v>
      </c>
      <c r="C206" s="3" t="s">
        <v>673</v>
      </c>
      <c r="D206" s="3" t="s">
        <v>516</v>
      </c>
      <c r="J206" s="1" t="s">
        <v>66</v>
      </c>
      <c r="K206" s="5" t="s">
        <v>141</v>
      </c>
      <c r="L206" s="6" t="s">
        <v>231</v>
      </c>
      <c r="N206" s="1" t="s">
        <v>66</v>
      </c>
      <c r="O206" s="6" t="s">
        <v>202</v>
      </c>
      <c r="P206" s="6" t="s">
        <v>279</v>
      </c>
      <c r="V206" s="1"/>
      <c r="Z206"/>
      <c r="AA206"/>
    </row>
    <row r="207" spans="2:27" x14ac:dyDescent="0.35">
      <c r="B207" s="3" t="s">
        <v>674</v>
      </c>
      <c r="C207" s="3" t="s">
        <v>675</v>
      </c>
      <c r="D207" s="3" t="s">
        <v>519</v>
      </c>
      <c r="J207" s="1" t="s">
        <v>66</v>
      </c>
      <c r="K207" s="5" t="s">
        <v>141</v>
      </c>
      <c r="L207" s="6" t="s">
        <v>234</v>
      </c>
      <c r="N207" s="1" t="s">
        <v>66</v>
      </c>
      <c r="O207" s="6" t="s">
        <v>176</v>
      </c>
      <c r="P207" s="6" t="s">
        <v>282</v>
      </c>
      <c r="V207" s="1"/>
      <c r="Z207"/>
      <c r="AA207"/>
    </row>
    <row r="208" spans="2:27" x14ac:dyDescent="0.35">
      <c r="B208" s="3" t="s">
        <v>676</v>
      </c>
      <c r="C208" s="3" t="s">
        <v>677</v>
      </c>
      <c r="D208" s="3" t="s">
        <v>522</v>
      </c>
      <c r="J208" s="1" t="s">
        <v>66</v>
      </c>
      <c r="K208" s="5" t="s">
        <v>141</v>
      </c>
      <c r="L208" s="6" t="s">
        <v>237</v>
      </c>
      <c r="N208" s="1" t="s">
        <v>66</v>
      </c>
      <c r="O208" s="6" t="s">
        <v>176</v>
      </c>
      <c r="P208" s="6" t="s">
        <v>282</v>
      </c>
      <c r="V208" s="1"/>
      <c r="Z208"/>
      <c r="AA208"/>
    </row>
    <row r="209" spans="2:27" x14ac:dyDescent="0.35">
      <c r="B209" s="3" t="s">
        <v>678</v>
      </c>
      <c r="C209" s="3" t="s">
        <v>679</v>
      </c>
      <c r="D209" s="3" t="s">
        <v>525</v>
      </c>
      <c r="J209" s="1" t="s">
        <v>66</v>
      </c>
      <c r="K209" s="5" t="s">
        <v>141</v>
      </c>
      <c r="L209" s="6" t="s">
        <v>240</v>
      </c>
      <c r="N209" s="1" t="s">
        <v>66</v>
      </c>
      <c r="O209" s="6" t="s">
        <v>176</v>
      </c>
      <c r="P209" s="6" t="s">
        <v>287</v>
      </c>
      <c r="V209" s="1"/>
      <c r="Z209"/>
      <c r="AA209"/>
    </row>
    <row r="210" spans="2:27" x14ac:dyDescent="0.35">
      <c r="B210" s="3" t="s">
        <v>680</v>
      </c>
      <c r="C210" s="3" t="s">
        <v>681</v>
      </c>
      <c r="D210" s="3" t="s">
        <v>528</v>
      </c>
      <c r="J210" s="1" t="s">
        <v>66</v>
      </c>
      <c r="K210" s="5" t="s">
        <v>134</v>
      </c>
      <c r="L210" s="6" t="s">
        <v>219</v>
      </c>
      <c r="N210" s="1" t="s">
        <v>66</v>
      </c>
      <c r="O210" s="6" t="s">
        <v>176</v>
      </c>
      <c r="P210" s="6" t="s">
        <v>290</v>
      </c>
      <c r="V210" s="1"/>
      <c r="Z210"/>
      <c r="AA210"/>
    </row>
    <row r="211" spans="2:27" x14ac:dyDescent="0.35">
      <c r="B211" s="3" t="s">
        <v>682</v>
      </c>
      <c r="C211" s="3" t="s">
        <v>683</v>
      </c>
      <c r="D211" s="3" t="s">
        <v>531</v>
      </c>
      <c r="J211" s="1" t="s">
        <v>66</v>
      </c>
      <c r="K211" s="5" t="s">
        <v>134</v>
      </c>
      <c r="L211" s="6" t="s">
        <v>222</v>
      </c>
      <c r="N211" s="1" t="s">
        <v>66</v>
      </c>
      <c r="O211" s="6" t="s">
        <v>176</v>
      </c>
      <c r="P211" s="6" t="s">
        <v>293</v>
      </c>
      <c r="V211" s="1"/>
      <c r="Z211"/>
      <c r="AA211"/>
    </row>
    <row r="212" spans="2:27" x14ac:dyDescent="0.35">
      <c r="B212" s="3" t="s">
        <v>684</v>
      </c>
      <c r="C212" s="3" t="s">
        <v>685</v>
      </c>
      <c r="D212" s="3" t="s">
        <v>534</v>
      </c>
      <c r="J212" s="1" t="s">
        <v>66</v>
      </c>
      <c r="K212" s="5" t="s">
        <v>134</v>
      </c>
      <c r="L212" s="6" t="s">
        <v>225</v>
      </c>
      <c r="N212" s="1" t="s">
        <v>66</v>
      </c>
      <c r="O212" s="6" t="s">
        <v>176</v>
      </c>
      <c r="P212" s="6" t="s">
        <v>296</v>
      </c>
      <c r="V212" s="1"/>
      <c r="Z212"/>
      <c r="AA212"/>
    </row>
    <row r="213" spans="2:27" x14ac:dyDescent="0.35">
      <c r="B213" s="3" t="s">
        <v>686</v>
      </c>
      <c r="C213" s="3" t="s">
        <v>687</v>
      </c>
      <c r="D213" s="3" t="s">
        <v>537</v>
      </c>
      <c r="J213" s="1" t="s">
        <v>66</v>
      </c>
      <c r="K213" s="5" t="s">
        <v>134</v>
      </c>
      <c r="L213" s="6" t="s">
        <v>228</v>
      </c>
      <c r="N213" s="1" t="s">
        <v>66</v>
      </c>
      <c r="O213" s="6" t="s">
        <v>176</v>
      </c>
      <c r="P213" s="6" t="s">
        <v>299</v>
      </c>
      <c r="V213" s="1"/>
      <c r="Z213"/>
      <c r="AA213"/>
    </row>
    <row r="214" spans="2:27" x14ac:dyDescent="0.35">
      <c r="B214" s="3" t="s">
        <v>688</v>
      </c>
      <c r="C214" s="3" t="s">
        <v>689</v>
      </c>
      <c r="D214" s="3" t="s">
        <v>540</v>
      </c>
      <c r="J214" s="1" t="s">
        <v>66</v>
      </c>
      <c r="K214" s="5" t="s">
        <v>134</v>
      </c>
      <c r="L214" s="6" t="s">
        <v>231</v>
      </c>
      <c r="N214" s="1" t="s">
        <v>66</v>
      </c>
      <c r="O214" s="6" t="s">
        <v>176</v>
      </c>
      <c r="P214" s="6" t="s">
        <v>302</v>
      </c>
      <c r="V214" s="1"/>
      <c r="Z214"/>
      <c r="AA214"/>
    </row>
    <row r="215" spans="2:27" x14ac:dyDescent="0.35">
      <c r="B215" s="3" t="s">
        <v>690</v>
      </c>
      <c r="C215" s="3" t="s">
        <v>691</v>
      </c>
      <c r="D215" s="3" t="s">
        <v>543</v>
      </c>
      <c r="J215" s="1" t="s">
        <v>66</v>
      </c>
      <c r="K215" s="5" t="s">
        <v>134</v>
      </c>
      <c r="L215" s="6" t="s">
        <v>234</v>
      </c>
      <c r="N215" s="1" t="s">
        <v>66</v>
      </c>
      <c r="O215" s="6" t="s">
        <v>176</v>
      </c>
      <c r="P215" s="6" t="s">
        <v>305</v>
      </c>
      <c r="V215" s="1"/>
      <c r="Z215"/>
      <c r="AA215"/>
    </row>
    <row r="216" spans="2:27" x14ac:dyDescent="0.35">
      <c r="B216" s="3" t="s">
        <v>692</v>
      </c>
      <c r="C216" s="3" t="s">
        <v>693</v>
      </c>
      <c r="D216" s="3" t="s">
        <v>546</v>
      </c>
      <c r="J216" s="1" t="s">
        <v>66</v>
      </c>
      <c r="K216" s="5" t="s">
        <v>134</v>
      </c>
      <c r="L216" s="6" t="s">
        <v>237</v>
      </c>
      <c r="N216" s="1" t="s">
        <v>66</v>
      </c>
      <c r="O216" s="6" t="s">
        <v>176</v>
      </c>
      <c r="P216" s="6" t="s">
        <v>308</v>
      </c>
      <c r="V216" s="1"/>
      <c r="Z216"/>
      <c r="AA216"/>
    </row>
    <row r="217" spans="2:27" x14ac:dyDescent="0.35">
      <c r="B217" s="3" t="s">
        <v>694</v>
      </c>
      <c r="C217" s="3" t="s">
        <v>695</v>
      </c>
      <c r="D217" s="3" t="s">
        <v>549</v>
      </c>
      <c r="J217" s="1" t="s">
        <v>66</v>
      </c>
      <c r="K217" s="5" t="s">
        <v>134</v>
      </c>
      <c r="L217" s="6" t="s">
        <v>240</v>
      </c>
      <c r="N217" s="1" t="s">
        <v>66</v>
      </c>
      <c r="O217" s="6" t="s">
        <v>176</v>
      </c>
      <c r="P217" s="6" t="s">
        <v>311</v>
      </c>
      <c r="V217" s="1"/>
      <c r="Z217"/>
      <c r="AA217"/>
    </row>
    <row r="218" spans="2:27" x14ac:dyDescent="0.35">
      <c r="B218" s="3" t="s">
        <v>696</v>
      </c>
      <c r="C218" s="3" t="s">
        <v>697</v>
      </c>
      <c r="D218" s="3" t="s">
        <v>552</v>
      </c>
      <c r="J218" s="1" t="s">
        <v>83</v>
      </c>
      <c r="K218" s="3" t="s">
        <v>126</v>
      </c>
      <c r="L218" s="4" t="s">
        <v>177</v>
      </c>
      <c r="N218" s="1" t="s">
        <v>66</v>
      </c>
      <c r="O218" s="6" t="s">
        <v>182</v>
      </c>
      <c r="P218" s="6" t="s">
        <v>314</v>
      </c>
      <c r="V218" s="1"/>
      <c r="Z218"/>
      <c r="AA218"/>
    </row>
    <row r="219" spans="2:27" x14ac:dyDescent="0.35">
      <c r="B219" s="3" t="s">
        <v>698</v>
      </c>
      <c r="C219" s="3" t="s">
        <v>699</v>
      </c>
      <c r="D219" s="3" t="s">
        <v>555</v>
      </c>
      <c r="J219" s="1" t="s">
        <v>83</v>
      </c>
      <c r="K219" s="3" t="s">
        <v>126</v>
      </c>
      <c r="L219" s="4" t="s">
        <v>180</v>
      </c>
      <c r="N219" s="1" t="s">
        <v>66</v>
      </c>
      <c r="O219" s="6" t="s">
        <v>182</v>
      </c>
      <c r="P219" s="6" t="s">
        <v>317</v>
      </c>
      <c r="V219" s="1"/>
      <c r="Z219"/>
      <c r="AA219"/>
    </row>
    <row r="220" spans="2:27" x14ac:dyDescent="0.35">
      <c r="B220" s="3" t="s">
        <v>700</v>
      </c>
      <c r="C220" s="3" t="s">
        <v>701</v>
      </c>
      <c r="D220" s="3" t="s">
        <v>558</v>
      </c>
      <c r="J220" s="1" t="s">
        <v>83</v>
      </c>
      <c r="K220" s="3" t="s">
        <v>126</v>
      </c>
      <c r="L220" s="4" t="s">
        <v>183</v>
      </c>
      <c r="N220" s="1" t="s">
        <v>66</v>
      </c>
      <c r="O220" s="6" t="s">
        <v>182</v>
      </c>
      <c r="P220" s="6" t="s">
        <v>319</v>
      </c>
      <c r="V220" s="1"/>
      <c r="Z220"/>
      <c r="AA220"/>
    </row>
    <row r="221" spans="2:27" x14ac:dyDescent="0.35">
      <c r="B221" s="3" t="s">
        <v>702</v>
      </c>
      <c r="C221" s="3" t="s">
        <v>703</v>
      </c>
      <c r="D221" s="3" t="s">
        <v>561</v>
      </c>
      <c r="J221" s="1" t="s">
        <v>83</v>
      </c>
      <c r="K221" s="3" t="s">
        <v>126</v>
      </c>
      <c r="L221" s="4" t="s">
        <v>186</v>
      </c>
      <c r="N221" s="1" t="s">
        <v>66</v>
      </c>
      <c r="O221" s="6" t="s">
        <v>182</v>
      </c>
      <c r="P221" s="6" t="s">
        <v>322</v>
      </c>
      <c r="V221" s="1"/>
      <c r="Z221"/>
      <c r="AA221"/>
    </row>
    <row r="222" spans="2:27" x14ac:dyDescent="0.35">
      <c r="B222" s="3" t="s">
        <v>704</v>
      </c>
      <c r="C222" s="3" t="s">
        <v>705</v>
      </c>
      <c r="D222" s="3" t="s">
        <v>564</v>
      </c>
      <c r="J222" s="1" t="s">
        <v>83</v>
      </c>
      <c r="K222" s="3" t="s">
        <v>126</v>
      </c>
      <c r="L222" s="4" t="s">
        <v>189</v>
      </c>
      <c r="N222" s="1" t="s">
        <v>66</v>
      </c>
      <c r="O222" s="6" t="s">
        <v>182</v>
      </c>
      <c r="P222" s="6" t="s">
        <v>325</v>
      </c>
      <c r="V222" s="1"/>
      <c r="Z222"/>
      <c r="AA222"/>
    </row>
    <row r="223" spans="2:27" x14ac:dyDescent="0.35">
      <c r="B223" s="3" t="s">
        <v>706</v>
      </c>
      <c r="C223" s="3" t="s">
        <v>707</v>
      </c>
      <c r="D223" s="3" t="s">
        <v>567</v>
      </c>
      <c r="J223" s="1" t="s">
        <v>83</v>
      </c>
      <c r="K223" s="3" t="s">
        <v>126</v>
      </c>
      <c r="L223" s="4" t="s">
        <v>192</v>
      </c>
      <c r="N223" s="1" t="s">
        <v>66</v>
      </c>
      <c r="O223" s="6" t="s">
        <v>182</v>
      </c>
      <c r="P223" s="6" t="s">
        <v>328</v>
      </c>
      <c r="V223" s="1"/>
      <c r="Z223"/>
      <c r="AA223"/>
    </row>
    <row r="224" spans="2:27" x14ac:dyDescent="0.35">
      <c r="B224" s="3" t="s">
        <v>708</v>
      </c>
      <c r="C224" s="3" t="s">
        <v>709</v>
      </c>
      <c r="D224" s="3" t="s">
        <v>570</v>
      </c>
      <c r="J224" s="1" t="s">
        <v>83</v>
      </c>
      <c r="K224" s="3" t="s">
        <v>126</v>
      </c>
      <c r="L224" s="4" t="s">
        <v>196</v>
      </c>
      <c r="N224" s="1" t="s">
        <v>66</v>
      </c>
      <c r="O224" s="6" t="s">
        <v>182</v>
      </c>
      <c r="P224" s="6" t="s">
        <v>331</v>
      </c>
      <c r="V224" s="1"/>
      <c r="Z224"/>
      <c r="AA224"/>
    </row>
    <row r="225" spans="2:27" x14ac:dyDescent="0.35">
      <c r="B225" s="3" t="s">
        <v>710</v>
      </c>
      <c r="C225" s="3" t="s">
        <v>711</v>
      </c>
      <c r="D225" s="3" t="s">
        <v>573</v>
      </c>
      <c r="J225" s="1" t="s">
        <v>83</v>
      </c>
      <c r="K225" s="3" t="s">
        <v>126</v>
      </c>
      <c r="L225" s="4" t="s">
        <v>199</v>
      </c>
      <c r="N225" s="1" t="s">
        <v>66</v>
      </c>
      <c r="O225" s="6" t="s">
        <v>182</v>
      </c>
      <c r="P225" s="6" t="s">
        <v>334</v>
      </c>
      <c r="V225" s="1"/>
      <c r="Z225"/>
      <c r="AA225"/>
    </row>
    <row r="226" spans="2:27" x14ac:dyDescent="0.35">
      <c r="B226" s="3" t="s">
        <v>712</v>
      </c>
      <c r="C226" s="3" t="s">
        <v>713</v>
      </c>
      <c r="D226" s="3" t="s">
        <v>576</v>
      </c>
      <c r="J226" s="1" t="s">
        <v>83</v>
      </c>
      <c r="K226" s="3" t="s">
        <v>126</v>
      </c>
      <c r="L226" s="4" t="s">
        <v>203</v>
      </c>
      <c r="N226" s="1" t="s">
        <v>66</v>
      </c>
      <c r="O226" s="6" t="s">
        <v>182</v>
      </c>
      <c r="P226" s="6" t="s">
        <v>337</v>
      </c>
      <c r="V226" s="1"/>
      <c r="Z226"/>
      <c r="AA226"/>
    </row>
    <row r="227" spans="2:27" x14ac:dyDescent="0.35">
      <c r="B227" s="3" t="s">
        <v>714</v>
      </c>
      <c r="C227" s="3" t="s">
        <v>715</v>
      </c>
      <c r="D227" s="3" t="s">
        <v>579</v>
      </c>
      <c r="J227" s="1" t="s">
        <v>83</v>
      </c>
      <c r="K227" s="3" t="s">
        <v>126</v>
      </c>
      <c r="L227" s="4" t="s">
        <v>207</v>
      </c>
      <c r="N227" s="1" t="s">
        <v>66</v>
      </c>
      <c r="O227" s="6" t="s">
        <v>182</v>
      </c>
      <c r="P227" s="6" t="s">
        <v>340</v>
      </c>
      <c r="V227" s="1"/>
      <c r="Z227"/>
      <c r="AA227"/>
    </row>
    <row r="228" spans="2:27" x14ac:dyDescent="0.35">
      <c r="B228" s="3" t="s">
        <v>716</v>
      </c>
      <c r="C228" s="3" t="s">
        <v>717</v>
      </c>
      <c r="D228" s="3" t="s">
        <v>582</v>
      </c>
      <c r="J228" s="1" t="s">
        <v>83</v>
      </c>
      <c r="K228" s="3" t="s">
        <v>126</v>
      </c>
      <c r="L228" s="4" t="s">
        <v>210</v>
      </c>
      <c r="N228" s="1" t="s">
        <v>66</v>
      </c>
      <c r="O228" s="6" t="s">
        <v>182</v>
      </c>
      <c r="P228" s="6" t="s">
        <v>343</v>
      </c>
      <c r="V228" s="1"/>
      <c r="Z228"/>
      <c r="AA228"/>
    </row>
    <row r="229" spans="2:27" x14ac:dyDescent="0.35">
      <c r="B229" s="3" t="s">
        <v>718</v>
      </c>
      <c r="C229" s="3" t="s">
        <v>719</v>
      </c>
      <c r="D229" s="3" t="s">
        <v>585</v>
      </c>
      <c r="J229" s="1" t="s">
        <v>83</v>
      </c>
      <c r="K229" s="3" t="s">
        <v>126</v>
      </c>
      <c r="L229" s="4" t="s">
        <v>213</v>
      </c>
      <c r="N229" s="1" t="s">
        <v>66</v>
      </c>
      <c r="O229" s="6" t="s">
        <v>179</v>
      </c>
      <c r="P229" s="6" t="s">
        <v>346</v>
      </c>
      <c r="V229" s="1"/>
      <c r="Z229"/>
      <c r="AA229"/>
    </row>
    <row r="230" spans="2:27" x14ac:dyDescent="0.35">
      <c r="B230" s="3" t="s">
        <v>720</v>
      </c>
      <c r="C230" s="3" t="s">
        <v>721</v>
      </c>
      <c r="D230" s="3" t="s">
        <v>588</v>
      </c>
      <c r="J230" s="1" t="s">
        <v>83</v>
      </c>
      <c r="K230" s="3" t="s">
        <v>126</v>
      </c>
      <c r="L230" s="4" t="s">
        <v>137</v>
      </c>
      <c r="N230" s="1" t="s">
        <v>66</v>
      </c>
      <c r="O230" s="6" t="s">
        <v>179</v>
      </c>
      <c r="P230" s="6" t="s">
        <v>349</v>
      </c>
      <c r="V230" s="1"/>
      <c r="Z230"/>
      <c r="AA230"/>
    </row>
    <row r="231" spans="2:27" x14ac:dyDescent="0.35">
      <c r="B231" s="3" t="s">
        <v>722</v>
      </c>
      <c r="C231" s="3" t="s">
        <v>723</v>
      </c>
      <c r="D231" s="3" t="s">
        <v>591</v>
      </c>
      <c r="J231" s="1" t="s">
        <v>83</v>
      </c>
      <c r="K231" s="3" t="s">
        <v>126</v>
      </c>
      <c r="L231" s="4" t="s">
        <v>217</v>
      </c>
      <c r="N231" s="1" t="s">
        <v>66</v>
      </c>
      <c r="O231" s="6" t="s">
        <v>179</v>
      </c>
      <c r="P231" s="6" t="s">
        <v>352</v>
      </c>
      <c r="V231" s="1"/>
      <c r="Z231"/>
      <c r="AA231"/>
    </row>
    <row r="232" spans="2:27" x14ac:dyDescent="0.35">
      <c r="B232" s="3" t="s">
        <v>724</v>
      </c>
      <c r="C232" s="3" t="s">
        <v>725</v>
      </c>
      <c r="D232" s="3" t="s">
        <v>594</v>
      </c>
      <c r="J232" s="1" t="s">
        <v>83</v>
      </c>
      <c r="K232" s="3" t="s">
        <v>126</v>
      </c>
      <c r="L232" s="4" t="s">
        <v>220</v>
      </c>
      <c r="N232" s="1" t="s">
        <v>66</v>
      </c>
      <c r="O232" s="6" t="s">
        <v>179</v>
      </c>
      <c r="P232" s="6" t="s">
        <v>355</v>
      </c>
      <c r="V232" s="1"/>
      <c r="Z232"/>
      <c r="AA232"/>
    </row>
    <row r="233" spans="2:27" x14ac:dyDescent="0.35">
      <c r="B233" s="3" t="s">
        <v>726</v>
      </c>
      <c r="C233" s="3" t="s">
        <v>727</v>
      </c>
      <c r="D233" s="3" t="s">
        <v>597</v>
      </c>
      <c r="J233" s="1" t="s">
        <v>83</v>
      </c>
      <c r="K233" s="3" t="s">
        <v>126</v>
      </c>
      <c r="L233" s="4" t="s">
        <v>223</v>
      </c>
      <c r="N233" s="1" t="s">
        <v>66</v>
      </c>
      <c r="O233" s="6" t="s">
        <v>179</v>
      </c>
      <c r="P233" s="6" t="s">
        <v>358</v>
      </c>
      <c r="V233" s="1"/>
      <c r="Z233"/>
      <c r="AA233"/>
    </row>
    <row r="234" spans="2:27" x14ac:dyDescent="0.35">
      <c r="B234" s="3" t="s">
        <v>728</v>
      </c>
      <c r="C234" s="3" t="s">
        <v>729</v>
      </c>
      <c r="D234" s="3" t="s">
        <v>600</v>
      </c>
      <c r="J234" s="1" t="s">
        <v>83</v>
      </c>
      <c r="K234" s="3" t="s">
        <v>126</v>
      </c>
      <c r="L234" s="4" t="s">
        <v>226</v>
      </c>
      <c r="N234" s="1" t="s">
        <v>66</v>
      </c>
      <c r="O234" s="6" t="s">
        <v>179</v>
      </c>
      <c r="P234" s="6" t="s">
        <v>361</v>
      </c>
      <c r="V234" s="1"/>
      <c r="Z234"/>
      <c r="AA234"/>
    </row>
    <row r="235" spans="2:27" x14ac:dyDescent="0.35">
      <c r="B235" s="3" t="s">
        <v>730</v>
      </c>
      <c r="C235" s="3" t="s">
        <v>731</v>
      </c>
      <c r="D235" s="3" t="s">
        <v>603</v>
      </c>
      <c r="J235" s="1" t="s">
        <v>83</v>
      </c>
      <c r="K235" s="3" t="s">
        <v>126</v>
      </c>
      <c r="L235" s="4" t="s">
        <v>229</v>
      </c>
      <c r="N235" s="1" t="s">
        <v>66</v>
      </c>
      <c r="O235" s="6" t="s">
        <v>179</v>
      </c>
      <c r="P235" s="6" t="s">
        <v>364</v>
      </c>
      <c r="V235" s="1"/>
      <c r="Z235"/>
      <c r="AA235"/>
    </row>
    <row r="236" spans="2:27" x14ac:dyDescent="0.35">
      <c r="B236" s="3" t="s">
        <v>732</v>
      </c>
      <c r="C236" s="3" t="s">
        <v>733</v>
      </c>
      <c r="D236" s="3" t="s">
        <v>606</v>
      </c>
      <c r="J236" s="1" t="s">
        <v>83</v>
      </c>
      <c r="K236" s="3" t="s">
        <v>126</v>
      </c>
      <c r="L236" s="4" t="s">
        <v>232</v>
      </c>
      <c r="N236" s="1" t="s">
        <v>66</v>
      </c>
      <c r="O236" s="6" t="s">
        <v>179</v>
      </c>
      <c r="P236" s="6" t="s">
        <v>367</v>
      </c>
      <c r="V236" s="1"/>
      <c r="Z236"/>
      <c r="AA236"/>
    </row>
    <row r="237" spans="2:27" x14ac:dyDescent="0.35">
      <c r="B237" s="3" t="s">
        <v>734</v>
      </c>
      <c r="C237" s="3" t="s">
        <v>735</v>
      </c>
      <c r="D237" s="3" t="s">
        <v>609</v>
      </c>
      <c r="J237" s="1" t="s">
        <v>83</v>
      </c>
      <c r="K237" s="3" t="s">
        <v>126</v>
      </c>
      <c r="L237" s="4" t="s">
        <v>235</v>
      </c>
      <c r="N237" s="1" t="s">
        <v>66</v>
      </c>
      <c r="O237" s="6" t="s">
        <v>179</v>
      </c>
      <c r="P237" s="6" t="s">
        <v>370</v>
      </c>
      <c r="V237" s="1"/>
      <c r="Z237"/>
      <c r="AA237"/>
    </row>
    <row r="238" spans="2:27" x14ac:dyDescent="0.35">
      <c r="B238" s="3" t="s">
        <v>736</v>
      </c>
      <c r="C238" s="3" t="s">
        <v>737</v>
      </c>
      <c r="D238" s="3" t="s">
        <v>612</v>
      </c>
      <c r="J238" s="1" t="s">
        <v>83</v>
      </c>
      <c r="K238" s="3" t="s">
        <v>126</v>
      </c>
      <c r="L238" s="4" t="s">
        <v>238</v>
      </c>
      <c r="N238" s="1" t="s">
        <v>66</v>
      </c>
      <c r="O238" s="6" t="s">
        <v>179</v>
      </c>
      <c r="P238" s="6" t="s">
        <v>373</v>
      </c>
      <c r="V238" s="1"/>
      <c r="Z238"/>
      <c r="AA238"/>
    </row>
    <row r="239" spans="2:27" x14ac:dyDescent="0.35">
      <c r="B239" s="3" t="s">
        <v>738</v>
      </c>
      <c r="C239" s="3" t="s">
        <v>739</v>
      </c>
      <c r="D239" s="3" t="s">
        <v>615</v>
      </c>
      <c r="J239" s="1" t="s">
        <v>83</v>
      </c>
      <c r="K239" s="3" t="s">
        <v>126</v>
      </c>
      <c r="L239" s="4" t="s">
        <v>241</v>
      </c>
      <c r="N239" s="1" t="s">
        <v>66</v>
      </c>
      <c r="O239" s="6" t="s">
        <v>179</v>
      </c>
      <c r="P239" s="6" t="s">
        <v>376</v>
      </c>
      <c r="V239" s="1"/>
      <c r="Z239"/>
      <c r="AA239"/>
    </row>
    <row r="240" spans="2:27" x14ac:dyDescent="0.35">
      <c r="B240" s="3" t="s">
        <v>740</v>
      </c>
      <c r="C240" s="3" t="s">
        <v>741</v>
      </c>
      <c r="D240" s="3" t="s">
        <v>618</v>
      </c>
      <c r="J240" s="1" t="s">
        <v>83</v>
      </c>
      <c r="K240" s="3" t="s">
        <v>110</v>
      </c>
      <c r="L240" s="4" t="s">
        <v>244</v>
      </c>
      <c r="N240" s="1" t="s">
        <v>66</v>
      </c>
      <c r="O240" s="6" t="s">
        <v>179</v>
      </c>
      <c r="P240" s="6" t="s">
        <v>379</v>
      </c>
      <c r="V240" s="1"/>
      <c r="Z240"/>
      <c r="AA240"/>
    </row>
    <row r="241" spans="2:27" x14ac:dyDescent="0.35">
      <c r="B241" s="3" t="s">
        <v>742</v>
      </c>
      <c r="C241" s="3" t="s">
        <v>743</v>
      </c>
      <c r="D241" s="3" t="s">
        <v>621</v>
      </c>
      <c r="J241" s="1" t="s">
        <v>83</v>
      </c>
      <c r="K241" s="3" t="s">
        <v>110</v>
      </c>
      <c r="L241" s="4" t="s">
        <v>210</v>
      </c>
      <c r="N241" s="1" t="s">
        <v>66</v>
      </c>
      <c r="O241" s="6" t="s">
        <v>185</v>
      </c>
      <c r="P241" s="6" t="s">
        <v>382</v>
      </c>
      <c r="V241" s="1"/>
      <c r="Z241"/>
      <c r="AA241"/>
    </row>
    <row r="242" spans="2:27" x14ac:dyDescent="0.35">
      <c r="B242" s="3" t="s">
        <v>744</v>
      </c>
      <c r="C242" s="3" t="s">
        <v>745</v>
      </c>
      <c r="D242" s="3" t="s">
        <v>624</v>
      </c>
      <c r="J242" s="1" t="s">
        <v>83</v>
      </c>
      <c r="K242" s="3" t="s">
        <v>110</v>
      </c>
      <c r="L242" s="4" t="s">
        <v>247</v>
      </c>
      <c r="N242" s="1" t="s">
        <v>66</v>
      </c>
      <c r="O242" s="6" t="s">
        <v>185</v>
      </c>
      <c r="P242" s="6" t="s">
        <v>385</v>
      </c>
      <c r="V242" s="1"/>
      <c r="Z242"/>
      <c r="AA242"/>
    </row>
    <row r="243" spans="2:27" x14ac:dyDescent="0.35">
      <c r="B243" s="3" t="s">
        <v>746</v>
      </c>
      <c r="C243" s="3" t="s">
        <v>747</v>
      </c>
      <c r="D243" s="3" t="s">
        <v>627</v>
      </c>
      <c r="J243" s="1" t="s">
        <v>83</v>
      </c>
      <c r="K243" s="3" t="s">
        <v>110</v>
      </c>
      <c r="L243" s="4" t="s">
        <v>137</v>
      </c>
      <c r="N243" s="1" t="s">
        <v>66</v>
      </c>
      <c r="O243" s="6" t="s">
        <v>185</v>
      </c>
      <c r="P243" s="6" t="s">
        <v>388</v>
      </c>
      <c r="V243" s="1"/>
      <c r="Z243"/>
      <c r="AA243"/>
    </row>
    <row r="244" spans="2:27" x14ac:dyDescent="0.35">
      <c r="B244" s="3" t="s">
        <v>748</v>
      </c>
      <c r="C244" s="3" t="s">
        <v>749</v>
      </c>
      <c r="D244" s="3" t="s">
        <v>630</v>
      </c>
      <c r="J244" s="1" t="s">
        <v>83</v>
      </c>
      <c r="K244" s="3" t="s">
        <v>110</v>
      </c>
      <c r="L244" s="4" t="s">
        <v>220</v>
      </c>
      <c r="N244" s="1" t="s">
        <v>66</v>
      </c>
      <c r="O244" s="6" t="s">
        <v>185</v>
      </c>
      <c r="P244" s="6" t="s">
        <v>391</v>
      </c>
      <c r="V244" s="1"/>
      <c r="Z244"/>
      <c r="AA244"/>
    </row>
    <row r="245" spans="2:27" x14ac:dyDescent="0.35">
      <c r="B245" s="3" t="s">
        <v>750</v>
      </c>
      <c r="C245" s="3" t="s">
        <v>751</v>
      </c>
      <c r="D245" s="3" t="s">
        <v>633</v>
      </c>
      <c r="J245" s="1" t="s">
        <v>83</v>
      </c>
      <c r="K245" s="3" t="s">
        <v>110</v>
      </c>
      <c r="L245" s="4" t="s">
        <v>223</v>
      </c>
      <c r="N245" s="1" t="s">
        <v>66</v>
      </c>
      <c r="O245" s="6" t="s">
        <v>185</v>
      </c>
      <c r="P245" s="6" t="s">
        <v>394</v>
      </c>
      <c r="V245" s="1"/>
      <c r="Z245"/>
      <c r="AA245"/>
    </row>
    <row r="246" spans="2:27" x14ac:dyDescent="0.35">
      <c r="B246" s="3" t="s">
        <v>752</v>
      </c>
      <c r="C246" s="3" t="s">
        <v>753</v>
      </c>
      <c r="D246" s="3" t="s">
        <v>636</v>
      </c>
      <c r="J246" s="1" t="s">
        <v>83</v>
      </c>
      <c r="K246" s="3" t="s">
        <v>110</v>
      </c>
      <c r="L246" s="4" t="s">
        <v>226</v>
      </c>
      <c r="N246" s="1" t="s">
        <v>66</v>
      </c>
      <c r="O246" s="6" t="s">
        <v>185</v>
      </c>
      <c r="P246" s="6" t="s">
        <v>397</v>
      </c>
      <c r="V246" s="1"/>
      <c r="Z246"/>
      <c r="AA246"/>
    </row>
    <row r="247" spans="2:27" x14ac:dyDescent="0.35">
      <c r="B247" s="3" t="s">
        <v>754</v>
      </c>
      <c r="C247" s="3" t="s">
        <v>755</v>
      </c>
      <c r="D247" s="3" t="s">
        <v>639</v>
      </c>
      <c r="J247" s="1" t="s">
        <v>83</v>
      </c>
      <c r="K247" s="3" t="s">
        <v>110</v>
      </c>
      <c r="L247" s="4" t="s">
        <v>229</v>
      </c>
      <c r="N247" s="1" t="s">
        <v>66</v>
      </c>
      <c r="O247" s="6" t="s">
        <v>185</v>
      </c>
      <c r="P247" s="6" t="s">
        <v>400</v>
      </c>
      <c r="V247" s="1"/>
      <c r="Z247"/>
      <c r="AA247"/>
    </row>
    <row r="248" spans="2:27" x14ac:dyDescent="0.35">
      <c r="B248" s="3" t="s">
        <v>756</v>
      </c>
      <c r="C248" s="3" t="s">
        <v>757</v>
      </c>
      <c r="D248" s="3" t="s">
        <v>642</v>
      </c>
      <c r="J248" s="1" t="s">
        <v>83</v>
      </c>
      <c r="K248" s="3" t="s">
        <v>110</v>
      </c>
      <c r="L248" s="4" t="s">
        <v>232</v>
      </c>
      <c r="N248" s="1" t="s">
        <v>66</v>
      </c>
      <c r="O248" s="6" t="s">
        <v>185</v>
      </c>
      <c r="P248" s="6" t="s">
        <v>403</v>
      </c>
      <c r="V248" s="1"/>
      <c r="Z248"/>
      <c r="AA248"/>
    </row>
    <row r="249" spans="2:27" x14ac:dyDescent="0.35">
      <c r="B249" s="3" t="s">
        <v>758</v>
      </c>
      <c r="C249" s="3" t="s">
        <v>759</v>
      </c>
      <c r="D249" s="3" t="s">
        <v>645</v>
      </c>
      <c r="J249" s="1" t="s">
        <v>83</v>
      </c>
      <c r="K249" s="3" t="s">
        <v>110</v>
      </c>
      <c r="L249" s="4" t="s">
        <v>235</v>
      </c>
      <c r="N249" s="1" t="s">
        <v>66</v>
      </c>
      <c r="O249" s="6" t="s">
        <v>185</v>
      </c>
      <c r="P249" s="6" t="s">
        <v>406</v>
      </c>
      <c r="V249" s="1"/>
      <c r="Z249"/>
      <c r="AA249"/>
    </row>
    <row r="250" spans="2:27" x14ac:dyDescent="0.35">
      <c r="B250" s="3" t="s">
        <v>760</v>
      </c>
      <c r="C250" s="3" t="s">
        <v>761</v>
      </c>
      <c r="D250" s="3" t="s">
        <v>648</v>
      </c>
      <c r="J250" s="1" t="s">
        <v>83</v>
      </c>
      <c r="K250" s="3" t="s">
        <v>110</v>
      </c>
      <c r="L250" s="4" t="s">
        <v>238</v>
      </c>
      <c r="N250" s="1" t="s">
        <v>66</v>
      </c>
      <c r="O250" s="6" t="s">
        <v>185</v>
      </c>
      <c r="P250" s="6" t="s">
        <v>409</v>
      </c>
      <c r="V250" s="1"/>
      <c r="Z250"/>
      <c r="AA250"/>
    </row>
    <row r="251" spans="2:27" x14ac:dyDescent="0.35">
      <c r="B251" s="3" t="s">
        <v>762</v>
      </c>
      <c r="C251" s="3" t="s">
        <v>763</v>
      </c>
      <c r="D251" s="3" t="s">
        <v>651</v>
      </c>
      <c r="J251" s="1" t="s">
        <v>83</v>
      </c>
      <c r="K251" s="3" t="s">
        <v>110</v>
      </c>
      <c r="L251" s="4" t="s">
        <v>241</v>
      </c>
      <c r="N251" s="1" t="s">
        <v>66</v>
      </c>
      <c r="O251" s="6" t="s">
        <v>185</v>
      </c>
      <c r="P251" s="6" t="s">
        <v>412</v>
      </c>
      <c r="V251" s="1"/>
      <c r="Z251"/>
      <c r="AA251"/>
    </row>
    <row r="252" spans="2:27" x14ac:dyDescent="0.35">
      <c r="B252" s="3" t="s">
        <v>583</v>
      </c>
      <c r="C252" s="3" t="s">
        <v>764</v>
      </c>
      <c r="D252" s="3" t="s">
        <v>417</v>
      </c>
      <c r="J252" s="1" t="s">
        <v>83</v>
      </c>
      <c r="K252" s="3" t="s">
        <v>114</v>
      </c>
      <c r="L252" s="4" t="s">
        <v>250</v>
      </c>
      <c r="N252" s="1" t="s">
        <v>66</v>
      </c>
      <c r="O252" s="6" t="s">
        <v>188</v>
      </c>
      <c r="P252" s="6" t="s">
        <v>415</v>
      </c>
      <c r="V252" s="1"/>
      <c r="Z252"/>
      <c r="AA252"/>
    </row>
    <row r="253" spans="2:27" x14ac:dyDescent="0.35">
      <c r="B253" s="3" t="s">
        <v>586</v>
      </c>
      <c r="C253" s="3" t="s">
        <v>587</v>
      </c>
      <c r="D253" s="3" t="s">
        <v>420</v>
      </c>
      <c r="J253" s="1" t="s">
        <v>83</v>
      </c>
      <c r="K253" s="3" t="s">
        <v>114</v>
      </c>
      <c r="L253" s="4" t="s">
        <v>210</v>
      </c>
      <c r="N253" s="1" t="s">
        <v>66</v>
      </c>
      <c r="O253" s="6" t="s">
        <v>188</v>
      </c>
      <c r="P253" s="6" t="s">
        <v>418</v>
      </c>
      <c r="V253" s="1"/>
      <c r="Z253"/>
      <c r="AA253"/>
    </row>
    <row r="254" spans="2:27" x14ac:dyDescent="0.35">
      <c r="B254" s="3" t="s">
        <v>589</v>
      </c>
      <c r="C254" s="3" t="s">
        <v>590</v>
      </c>
      <c r="D254" s="3" t="s">
        <v>423</v>
      </c>
      <c r="J254" s="1" t="s">
        <v>83</v>
      </c>
      <c r="K254" s="3" t="s">
        <v>114</v>
      </c>
      <c r="L254" s="4" t="s">
        <v>253</v>
      </c>
      <c r="N254" s="1" t="s">
        <v>66</v>
      </c>
      <c r="O254" s="6" t="s">
        <v>188</v>
      </c>
      <c r="P254" s="6" t="s">
        <v>421</v>
      </c>
      <c r="V254" s="1"/>
      <c r="Z254"/>
      <c r="AA254"/>
    </row>
    <row r="255" spans="2:27" x14ac:dyDescent="0.35">
      <c r="J255" s="1" t="s">
        <v>83</v>
      </c>
      <c r="K255" s="3" t="s">
        <v>114</v>
      </c>
      <c r="L255" s="4" t="s">
        <v>256</v>
      </c>
      <c r="N255" s="1" t="s">
        <v>66</v>
      </c>
      <c r="O255" s="6" t="s">
        <v>188</v>
      </c>
      <c r="P255" s="6" t="s">
        <v>424</v>
      </c>
      <c r="V255" s="1"/>
      <c r="Z255"/>
      <c r="AA255"/>
    </row>
    <row r="256" spans="2:27" x14ac:dyDescent="0.35">
      <c r="J256" s="1" t="s">
        <v>83</v>
      </c>
      <c r="K256" s="3" t="s">
        <v>114</v>
      </c>
      <c r="L256" s="4" t="s">
        <v>220</v>
      </c>
      <c r="N256" s="1" t="s">
        <v>66</v>
      </c>
      <c r="O256" s="6" t="s">
        <v>188</v>
      </c>
      <c r="P256" s="6" t="s">
        <v>427</v>
      </c>
      <c r="V256" s="1"/>
      <c r="Z256"/>
      <c r="AA256"/>
    </row>
    <row r="257" spans="10:27" x14ac:dyDescent="0.35">
      <c r="J257" s="1" t="s">
        <v>83</v>
      </c>
      <c r="K257" s="3" t="s">
        <v>114</v>
      </c>
      <c r="L257" s="4" t="s">
        <v>223</v>
      </c>
      <c r="N257" s="1" t="s">
        <v>66</v>
      </c>
      <c r="O257" s="6" t="s">
        <v>188</v>
      </c>
      <c r="P257" s="6" t="s">
        <v>430</v>
      </c>
      <c r="V257" s="1"/>
      <c r="Z257"/>
      <c r="AA257"/>
    </row>
    <row r="258" spans="10:27" x14ac:dyDescent="0.35">
      <c r="J258" s="1" t="s">
        <v>83</v>
      </c>
      <c r="K258" s="3" t="s">
        <v>114</v>
      </c>
      <c r="L258" s="4" t="s">
        <v>226</v>
      </c>
      <c r="N258" s="1" t="s">
        <v>66</v>
      </c>
      <c r="O258" s="6" t="s">
        <v>188</v>
      </c>
      <c r="P258" s="6" t="s">
        <v>433</v>
      </c>
      <c r="V258" s="1"/>
      <c r="Z258"/>
      <c r="AA258"/>
    </row>
    <row r="259" spans="10:27" x14ac:dyDescent="0.35">
      <c r="J259" s="1" t="s">
        <v>83</v>
      </c>
      <c r="K259" s="3" t="s">
        <v>114</v>
      </c>
      <c r="L259" s="4" t="s">
        <v>229</v>
      </c>
      <c r="N259" s="1" t="s">
        <v>66</v>
      </c>
      <c r="O259" s="6" t="s">
        <v>188</v>
      </c>
      <c r="P259" s="6" t="s">
        <v>436</v>
      </c>
      <c r="V259" s="1"/>
      <c r="Z259"/>
      <c r="AA259"/>
    </row>
    <row r="260" spans="10:27" x14ac:dyDescent="0.35">
      <c r="J260" s="1" t="s">
        <v>83</v>
      </c>
      <c r="K260" s="3" t="s">
        <v>114</v>
      </c>
      <c r="L260" s="4" t="s">
        <v>232</v>
      </c>
      <c r="N260" s="1" t="s">
        <v>66</v>
      </c>
      <c r="O260" s="6" t="s">
        <v>188</v>
      </c>
      <c r="P260" s="6" t="s">
        <v>439</v>
      </c>
      <c r="V260" s="1"/>
      <c r="Z260"/>
      <c r="AA260"/>
    </row>
    <row r="261" spans="10:27" x14ac:dyDescent="0.35">
      <c r="J261" s="1" t="s">
        <v>83</v>
      </c>
      <c r="K261" s="3" t="s">
        <v>114</v>
      </c>
      <c r="L261" s="4" t="s">
        <v>235</v>
      </c>
      <c r="N261" s="1" t="s">
        <v>66</v>
      </c>
      <c r="O261" s="6" t="s">
        <v>188</v>
      </c>
      <c r="P261" s="6" t="s">
        <v>442</v>
      </c>
      <c r="V261" s="1"/>
      <c r="Z261"/>
      <c r="AA261"/>
    </row>
    <row r="262" spans="10:27" x14ac:dyDescent="0.35">
      <c r="J262" s="1" t="s">
        <v>83</v>
      </c>
      <c r="K262" s="3" t="s">
        <v>114</v>
      </c>
      <c r="L262" s="4" t="s">
        <v>238</v>
      </c>
      <c r="N262" s="1" t="s">
        <v>66</v>
      </c>
      <c r="O262" s="6" t="s">
        <v>206</v>
      </c>
      <c r="P262" s="6" t="s">
        <v>445</v>
      </c>
      <c r="V262" s="1"/>
      <c r="Z262"/>
      <c r="AA262"/>
    </row>
    <row r="263" spans="10:27" x14ac:dyDescent="0.35">
      <c r="J263" s="1" t="s">
        <v>83</v>
      </c>
      <c r="K263" s="3" t="s">
        <v>114</v>
      </c>
      <c r="L263" s="4" t="s">
        <v>241</v>
      </c>
      <c r="N263" s="1" t="s">
        <v>66</v>
      </c>
      <c r="O263" s="6" t="s">
        <v>206</v>
      </c>
      <c r="P263" s="6" t="s">
        <v>448</v>
      </c>
      <c r="V263" s="1"/>
      <c r="Z263"/>
      <c r="AA263"/>
    </row>
    <row r="264" spans="10:27" x14ac:dyDescent="0.35">
      <c r="J264" s="1" t="s">
        <v>83</v>
      </c>
      <c r="K264" s="3" t="s">
        <v>137</v>
      </c>
      <c r="L264" s="4" t="s">
        <v>177</v>
      </c>
      <c r="N264" s="1" t="s">
        <v>66</v>
      </c>
      <c r="O264" s="6" t="s">
        <v>206</v>
      </c>
      <c r="P264" s="6" t="s">
        <v>451</v>
      </c>
      <c r="V264" s="1"/>
      <c r="Z264"/>
      <c r="AA264"/>
    </row>
    <row r="265" spans="10:27" x14ac:dyDescent="0.35">
      <c r="J265" s="1" t="s">
        <v>83</v>
      </c>
      <c r="K265" s="3" t="s">
        <v>137</v>
      </c>
      <c r="L265" s="4" t="s">
        <v>180</v>
      </c>
      <c r="N265" s="1" t="s">
        <v>66</v>
      </c>
      <c r="O265" s="6" t="s">
        <v>206</v>
      </c>
      <c r="P265" s="6" t="s">
        <v>454</v>
      </c>
      <c r="V265" s="1"/>
      <c r="Z265"/>
      <c r="AA265"/>
    </row>
    <row r="266" spans="10:27" x14ac:dyDescent="0.35">
      <c r="J266" s="1" t="s">
        <v>83</v>
      </c>
      <c r="K266" s="3" t="s">
        <v>137</v>
      </c>
      <c r="L266" s="4" t="s">
        <v>183</v>
      </c>
      <c r="N266" s="1" t="s">
        <v>66</v>
      </c>
      <c r="O266" s="6" t="s">
        <v>206</v>
      </c>
      <c r="P266" s="6" t="s">
        <v>457</v>
      </c>
      <c r="V266" s="1"/>
      <c r="Z266"/>
      <c r="AA266"/>
    </row>
    <row r="267" spans="10:27" x14ac:dyDescent="0.35">
      <c r="J267" s="1" t="s">
        <v>83</v>
      </c>
      <c r="K267" s="3" t="s">
        <v>137</v>
      </c>
      <c r="L267" s="4" t="s">
        <v>186</v>
      </c>
      <c r="N267" s="1" t="s">
        <v>66</v>
      </c>
      <c r="O267" s="6" t="s">
        <v>198</v>
      </c>
      <c r="P267" s="6" t="s">
        <v>460</v>
      </c>
      <c r="V267" s="1"/>
      <c r="Z267"/>
      <c r="AA267"/>
    </row>
    <row r="268" spans="10:27" x14ac:dyDescent="0.35">
      <c r="J268" s="1" t="s">
        <v>83</v>
      </c>
      <c r="K268" s="3" t="s">
        <v>137</v>
      </c>
      <c r="L268" s="4" t="s">
        <v>189</v>
      </c>
      <c r="N268" s="1" t="s">
        <v>66</v>
      </c>
      <c r="O268" s="6" t="s">
        <v>198</v>
      </c>
      <c r="P268" s="6" t="s">
        <v>463</v>
      </c>
      <c r="V268" s="1"/>
      <c r="Z268"/>
      <c r="AA268"/>
    </row>
    <row r="269" spans="10:27" x14ac:dyDescent="0.35">
      <c r="J269" s="1" t="s">
        <v>83</v>
      </c>
      <c r="K269" s="3" t="s">
        <v>137</v>
      </c>
      <c r="L269" s="4" t="s">
        <v>192</v>
      </c>
      <c r="N269" s="1" t="s">
        <v>66</v>
      </c>
      <c r="O269" s="6" t="s">
        <v>198</v>
      </c>
      <c r="P269" s="6" t="s">
        <v>466</v>
      </c>
      <c r="V269" s="1"/>
      <c r="Z269"/>
      <c r="AA269"/>
    </row>
    <row r="270" spans="10:27" x14ac:dyDescent="0.35">
      <c r="J270" s="1" t="s">
        <v>83</v>
      </c>
      <c r="K270" s="3" t="s">
        <v>137</v>
      </c>
      <c r="L270" s="4" t="s">
        <v>244</v>
      </c>
      <c r="N270" s="1" t="s">
        <v>66</v>
      </c>
      <c r="O270" s="6" t="s">
        <v>198</v>
      </c>
      <c r="P270" s="6" t="s">
        <v>469</v>
      </c>
      <c r="V270" s="1"/>
      <c r="Z270"/>
      <c r="AA270"/>
    </row>
    <row r="271" spans="10:27" x14ac:dyDescent="0.35">
      <c r="J271" s="1" t="s">
        <v>83</v>
      </c>
      <c r="K271" s="3" t="s">
        <v>137</v>
      </c>
      <c r="L271" s="4" t="s">
        <v>196</v>
      </c>
      <c r="N271" s="1" t="s">
        <v>66</v>
      </c>
      <c r="O271" s="6" t="s">
        <v>198</v>
      </c>
      <c r="P271" s="6" t="s">
        <v>472</v>
      </c>
      <c r="V271" s="1"/>
      <c r="Z271"/>
      <c r="AA271"/>
    </row>
    <row r="272" spans="10:27" x14ac:dyDescent="0.35">
      <c r="J272" s="1" t="s">
        <v>83</v>
      </c>
      <c r="K272" s="3" t="s">
        <v>137</v>
      </c>
      <c r="L272" s="4" t="s">
        <v>199</v>
      </c>
      <c r="N272" s="1" t="s">
        <v>66</v>
      </c>
      <c r="O272" s="6" t="s">
        <v>198</v>
      </c>
      <c r="P272" s="6" t="s">
        <v>475</v>
      </c>
      <c r="V272" s="1"/>
      <c r="Z272"/>
      <c r="AA272"/>
    </row>
    <row r="273" spans="10:27" x14ac:dyDescent="0.35">
      <c r="J273" s="1" t="s">
        <v>83</v>
      </c>
      <c r="K273" s="3" t="s">
        <v>137</v>
      </c>
      <c r="L273" s="4" t="s">
        <v>203</v>
      </c>
      <c r="N273" s="1" t="s">
        <v>66</v>
      </c>
      <c r="O273" s="6" t="s">
        <v>198</v>
      </c>
      <c r="P273" s="6" t="s">
        <v>478</v>
      </c>
      <c r="V273" s="1"/>
      <c r="Z273"/>
      <c r="AA273"/>
    </row>
    <row r="274" spans="10:27" x14ac:dyDescent="0.35">
      <c r="J274" s="1" t="s">
        <v>83</v>
      </c>
      <c r="K274" s="3" t="s">
        <v>137</v>
      </c>
      <c r="L274" s="4" t="s">
        <v>207</v>
      </c>
      <c r="N274" s="1" t="s">
        <v>66</v>
      </c>
      <c r="O274" s="6" t="s">
        <v>198</v>
      </c>
      <c r="P274" s="6" t="s">
        <v>481</v>
      </c>
      <c r="V274" s="1"/>
      <c r="Z274"/>
      <c r="AA274"/>
    </row>
    <row r="275" spans="10:27" x14ac:dyDescent="0.35">
      <c r="J275" s="1" t="s">
        <v>83</v>
      </c>
      <c r="K275" s="3" t="s">
        <v>137</v>
      </c>
      <c r="L275" s="4" t="s">
        <v>210</v>
      </c>
      <c r="N275" s="1" t="s">
        <v>66</v>
      </c>
      <c r="O275" s="6" t="s">
        <v>198</v>
      </c>
      <c r="P275" s="6" t="s">
        <v>484</v>
      </c>
      <c r="V275" s="1"/>
      <c r="Z275"/>
      <c r="AA275"/>
    </row>
    <row r="276" spans="10:27" x14ac:dyDescent="0.35">
      <c r="J276" s="1" t="s">
        <v>83</v>
      </c>
      <c r="K276" s="3" t="s">
        <v>137</v>
      </c>
      <c r="L276" s="4" t="s">
        <v>213</v>
      </c>
      <c r="N276" s="1" t="s">
        <v>66</v>
      </c>
      <c r="O276" s="6" t="s">
        <v>198</v>
      </c>
      <c r="P276" s="6" t="s">
        <v>487</v>
      </c>
      <c r="V276" s="1"/>
      <c r="Z276"/>
      <c r="AA276"/>
    </row>
    <row r="277" spans="10:27" x14ac:dyDescent="0.35">
      <c r="J277" s="1" t="s">
        <v>83</v>
      </c>
      <c r="K277" s="3" t="s">
        <v>137</v>
      </c>
      <c r="L277" s="4" t="s">
        <v>247</v>
      </c>
      <c r="N277" s="1" t="s">
        <v>66</v>
      </c>
      <c r="O277" s="6" t="s">
        <v>198</v>
      </c>
      <c r="P277" s="6" t="s">
        <v>490</v>
      </c>
      <c r="V277" s="1"/>
      <c r="Z277"/>
      <c r="AA277"/>
    </row>
    <row r="278" spans="10:27" x14ac:dyDescent="0.35">
      <c r="J278" s="1" t="s">
        <v>83</v>
      </c>
      <c r="K278" s="3" t="s">
        <v>137</v>
      </c>
      <c r="L278" s="4" t="s">
        <v>137</v>
      </c>
      <c r="N278" s="1" t="s">
        <v>66</v>
      </c>
      <c r="O278" s="6" t="s">
        <v>195</v>
      </c>
      <c r="P278" s="6" t="s">
        <v>493</v>
      </c>
      <c r="V278" s="1"/>
      <c r="Z278"/>
      <c r="AA278"/>
    </row>
    <row r="279" spans="10:27" x14ac:dyDescent="0.35">
      <c r="J279" s="1" t="s">
        <v>83</v>
      </c>
      <c r="K279" s="3" t="s">
        <v>137</v>
      </c>
      <c r="L279" s="4" t="s">
        <v>217</v>
      </c>
      <c r="N279" s="1" t="s">
        <v>66</v>
      </c>
      <c r="O279" s="6" t="s">
        <v>195</v>
      </c>
      <c r="P279" s="6" t="s">
        <v>496</v>
      </c>
      <c r="V279" s="1"/>
      <c r="Z279"/>
      <c r="AA279"/>
    </row>
    <row r="280" spans="10:27" x14ac:dyDescent="0.35">
      <c r="J280" s="1" t="s">
        <v>83</v>
      </c>
      <c r="K280" s="3" t="s">
        <v>137</v>
      </c>
      <c r="L280" s="4" t="s">
        <v>220</v>
      </c>
      <c r="N280" s="1" t="s">
        <v>66</v>
      </c>
      <c r="O280" s="6" t="s">
        <v>195</v>
      </c>
      <c r="P280" s="6" t="s">
        <v>499</v>
      </c>
      <c r="V280" s="1"/>
      <c r="Z280"/>
      <c r="AA280"/>
    </row>
    <row r="281" spans="10:27" x14ac:dyDescent="0.35">
      <c r="J281" s="1" t="s">
        <v>83</v>
      </c>
      <c r="K281" s="3" t="s">
        <v>137</v>
      </c>
      <c r="L281" s="4" t="s">
        <v>223</v>
      </c>
      <c r="N281" s="1" t="s">
        <v>66</v>
      </c>
      <c r="O281" s="6" t="s">
        <v>195</v>
      </c>
      <c r="P281" s="6" t="s">
        <v>502</v>
      </c>
      <c r="V281" s="1"/>
      <c r="Z281"/>
      <c r="AA281"/>
    </row>
    <row r="282" spans="10:27" x14ac:dyDescent="0.35">
      <c r="J282" s="1" t="s">
        <v>83</v>
      </c>
      <c r="K282" s="3" t="s">
        <v>137</v>
      </c>
      <c r="L282" s="4" t="s">
        <v>226</v>
      </c>
      <c r="N282" s="1" t="s">
        <v>66</v>
      </c>
      <c r="O282" s="6" t="s">
        <v>195</v>
      </c>
      <c r="P282" s="6" t="s">
        <v>505</v>
      </c>
      <c r="V282" s="1"/>
      <c r="Z282"/>
      <c r="AA282"/>
    </row>
    <row r="283" spans="10:27" x14ac:dyDescent="0.35">
      <c r="J283" s="1" t="s">
        <v>83</v>
      </c>
      <c r="K283" s="3" t="s">
        <v>137</v>
      </c>
      <c r="L283" s="4" t="s">
        <v>229</v>
      </c>
      <c r="N283" s="1" t="s">
        <v>66</v>
      </c>
      <c r="O283" s="6" t="s">
        <v>191</v>
      </c>
      <c r="P283" s="6" t="s">
        <v>508</v>
      </c>
      <c r="V283" s="1"/>
      <c r="Z283"/>
      <c r="AA283"/>
    </row>
    <row r="284" spans="10:27" x14ac:dyDescent="0.35">
      <c r="J284" s="1" t="s">
        <v>83</v>
      </c>
      <c r="K284" s="3" t="s">
        <v>137</v>
      </c>
      <c r="L284" s="4" t="s">
        <v>232</v>
      </c>
      <c r="N284" s="1" t="s">
        <v>66</v>
      </c>
      <c r="O284" s="6" t="s">
        <v>216</v>
      </c>
      <c r="P284" s="6" t="s">
        <v>511</v>
      </c>
      <c r="V284" s="1"/>
      <c r="Z284"/>
      <c r="AA284"/>
    </row>
    <row r="285" spans="10:27" x14ac:dyDescent="0.35">
      <c r="J285" s="1" t="s">
        <v>83</v>
      </c>
      <c r="K285" s="3" t="s">
        <v>137</v>
      </c>
      <c r="L285" s="4" t="s">
        <v>235</v>
      </c>
      <c r="N285" s="1" t="s">
        <v>66</v>
      </c>
      <c r="O285" s="6" t="s">
        <v>216</v>
      </c>
      <c r="P285" s="6" t="s">
        <v>514</v>
      </c>
      <c r="V285" s="1"/>
      <c r="Z285"/>
      <c r="AA285"/>
    </row>
    <row r="286" spans="10:27" x14ac:dyDescent="0.35">
      <c r="J286" s="1" t="s">
        <v>83</v>
      </c>
      <c r="K286" s="3" t="s">
        <v>137</v>
      </c>
      <c r="L286" s="4" t="s">
        <v>238</v>
      </c>
      <c r="N286" s="1" t="s">
        <v>66</v>
      </c>
      <c r="O286" s="6" t="s">
        <v>216</v>
      </c>
      <c r="P286" s="6" t="s">
        <v>517</v>
      </c>
      <c r="V286" s="1"/>
      <c r="Z286"/>
      <c r="AA286"/>
    </row>
    <row r="287" spans="10:27" x14ac:dyDescent="0.35">
      <c r="J287" s="1" t="s">
        <v>83</v>
      </c>
      <c r="K287" s="3" t="s">
        <v>137</v>
      </c>
      <c r="L287" s="4" t="s">
        <v>241</v>
      </c>
      <c r="N287" s="1" t="s">
        <v>66</v>
      </c>
      <c r="O287" s="6" t="s">
        <v>216</v>
      </c>
      <c r="P287" s="6" t="s">
        <v>520</v>
      </c>
      <c r="V287" s="1"/>
      <c r="Z287"/>
      <c r="AA287"/>
    </row>
    <row r="288" spans="10:27" x14ac:dyDescent="0.35">
      <c r="J288" s="1" t="s">
        <v>83</v>
      </c>
      <c r="K288" s="3" t="s">
        <v>154</v>
      </c>
      <c r="L288" s="4" t="s">
        <v>250</v>
      </c>
      <c r="N288" s="1" t="s">
        <v>66</v>
      </c>
      <c r="O288" s="6" t="s">
        <v>216</v>
      </c>
      <c r="P288" s="6" t="s">
        <v>523</v>
      </c>
      <c r="V288" s="1"/>
      <c r="Z288"/>
      <c r="AA288"/>
    </row>
    <row r="289" spans="7:27" x14ac:dyDescent="0.35">
      <c r="J289" s="1" t="s">
        <v>83</v>
      </c>
      <c r="K289" s="3" t="s">
        <v>154</v>
      </c>
      <c r="L289" s="4" t="s">
        <v>177</v>
      </c>
      <c r="N289" s="1" t="s">
        <v>66</v>
      </c>
      <c r="O289" s="6" t="s">
        <v>216</v>
      </c>
      <c r="P289" s="6" t="s">
        <v>526</v>
      </c>
      <c r="V289" s="1"/>
      <c r="Z289"/>
      <c r="AA289"/>
    </row>
    <row r="290" spans="7:27" x14ac:dyDescent="0.35">
      <c r="J290" s="1" t="s">
        <v>83</v>
      </c>
      <c r="K290" s="3" t="s">
        <v>154</v>
      </c>
      <c r="L290" s="4" t="s">
        <v>180</v>
      </c>
      <c r="N290" s="1" t="s">
        <v>66</v>
      </c>
      <c r="O290" s="6" t="s">
        <v>216</v>
      </c>
      <c r="P290" s="6" t="s">
        <v>529</v>
      </c>
      <c r="V290" s="1"/>
      <c r="Z290"/>
      <c r="AA290"/>
    </row>
    <row r="291" spans="7:27" x14ac:dyDescent="0.35">
      <c r="J291" s="1" t="s">
        <v>83</v>
      </c>
      <c r="K291" s="3" t="s">
        <v>154</v>
      </c>
      <c r="L291" s="4" t="s">
        <v>183</v>
      </c>
      <c r="N291" s="1" t="s">
        <v>66</v>
      </c>
      <c r="O291" s="6" t="s">
        <v>216</v>
      </c>
      <c r="P291" s="6" t="s">
        <v>532</v>
      </c>
      <c r="V291" s="1"/>
      <c r="Z291"/>
      <c r="AA291"/>
    </row>
    <row r="292" spans="7:27" x14ac:dyDescent="0.35">
      <c r="J292" s="1" t="s">
        <v>83</v>
      </c>
      <c r="K292" s="3" t="s">
        <v>154</v>
      </c>
      <c r="L292" s="4" t="s">
        <v>186</v>
      </c>
      <c r="N292" s="1" t="s">
        <v>66</v>
      </c>
      <c r="O292" s="6" t="s">
        <v>137</v>
      </c>
      <c r="P292" s="6" t="s">
        <v>535</v>
      </c>
      <c r="V292" s="1"/>
      <c r="Z292"/>
      <c r="AA292"/>
    </row>
    <row r="293" spans="7:27" x14ac:dyDescent="0.35">
      <c r="J293" s="1" t="s">
        <v>83</v>
      </c>
      <c r="K293" s="3" t="s">
        <v>154</v>
      </c>
      <c r="L293" s="4" t="s">
        <v>189</v>
      </c>
      <c r="N293" s="1" t="s">
        <v>66</v>
      </c>
      <c r="O293" s="6" t="s">
        <v>137</v>
      </c>
      <c r="P293" s="6" t="s">
        <v>538</v>
      </c>
      <c r="V293" s="1"/>
      <c r="Z293"/>
      <c r="AA293"/>
    </row>
    <row r="294" spans="7:27" x14ac:dyDescent="0.35">
      <c r="J294" s="1" t="s">
        <v>83</v>
      </c>
      <c r="K294" s="3" t="s">
        <v>154</v>
      </c>
      <c r="L294" s="4" t="s">
        <v>192</v>
      </c>
      <c r="N294" s="1" t="s">
        <v>66</v>
      </c>
      <c r="O294" s="6" t="s">
        <v>137</v>
      </c>
      <c r="P294" s="6" t="s">
        <v>541</v>
      </c>
      <c r="V294" s="1"/>
      <c r="Z294"/>
      <c r="AA294"/>
    </row>
    <row r="295" spans="7:27" x14ac:dyDescent="0.35">
      <c r="J295" s="1" t="s">
        <v>83</v>
      </c>
      <c r="K295" s="3" t="s">
        <v>154</v>
      </c>
      <c r="L295" s="4" t="s">
        <v>244</v>
      </c>
      <c r="N295" s="1" t="s">
        <v>66</v>
      </c>
      <c r="O295" s="6" t="s">
        <v>137</v>
      </c>
      <c r="P295" s="6" t="s">
        <v>544</v>
      </c>
      <c r="V295" s="1"/>
      <c r="Z295"/>
      <c r="AA295"/>
    </row>
    <row r="296" spans="7:27" x14ac:dyDescent="0.35">
      <c r="J296" s="1" t="s">
        <v>83</v>
      </c>
      <c r="K296" s="3" t="s">
        <v>154</v>
      </c>
      <c r="L296" s="4" t="s">
        <v>196</v>
      </c>
      <c r="N296" s="1" t="s">
        <v>66</v>
      </c>
      <c r="O296" s="6" t="s">
        <v>137</v>
      </c>
      <c r="P296" s="6" t="s">
        <v>547</v>
      </c>
      <c r="V296" s="1"/>
      <c r="Z296"/>
      <c r="AA296"/>
    </row>
    <row r="297" spans="7:27" x14ac:dyDescent="0.35">
      <c r="J297" s="1" t="s">
        <v>83</v>
      </c>
      <c r="K297" s="3" t="s">
        <v>154</v>
      </c>
      <c r="L297" s="4" t="s">
        <v>199</v>
      </c>
      <c r="N297" s="1" t="s">
        <v>66</v>
      </c>
      <c r="O297" s="6" t="s">
        <v>137</v>
      </c>
      <c r="P297" s="6" t="s">
        <v>550</v>
      </c>
      <c r="V297" s="1"/>
      <c r="Z297"/>
      <c r="AA297"/>
    </row>
    <row r="298" spans="7:27" x14ac:dyDescent="0.35">
      <c r="J298" s="1" t="s">
        <v>83</v>
      </c>
      <c r="K298" s="3" t="s">
        <v>154</v>
      </c>
      <c r="L298" s="4" t="s">
        <v>203</v>
      </c>
      <c r="N298" s="1" t="s">
        <v>66</v>
      </c>
      <c r="O298" s="6" t="s">
        <v>137</v>
      </c>
      <c r="P298" s="6" t="s">
        <v>553</v>
      </c>
      <c r="V298" s="1"/>
      <c r="Z298"/>
      <c r="AA298"/>
    </row>
    <row r="299" spans="7:27" x14ac:dyDescent="0.35">
      <c r="G299" s="1" t="e">
        <f ca="1">OFFSET('Dropdown Data'!$L$6,MATCH(1,('Dropdown Data'!$J$7:$J$322='PAAR UPDATE'!$B$10)*('Dropdown Data'!$K$7:$K$322='PAAR UPDATE'!$B$14:$F$14),0),0,COUNTIFS($J$7:$J$322,'PAAR UPDATE'!$B$10,'Dropdown Data'!$K$7:$K$322,'PAAR UPDATE'!$B$14),1)</f>
        <v>#VALUE!</v>
      </c>
      <c r="J299" s="1" t="s">
        <v>83</v>
      </c>
      <c r="K299" s="3" t="s">
        <v>154</v>
      </c>
      <c r="L299" s="4" t="s">
        <v>207</v>
      </c>
      <c r="N299" s="1" t="s">
        <v>66</v>
      </c>
      <c r="O299" s="6" t="s">
        <v>137</v>
      </c>
      <c r="P299" s="6" t="s">
        <v>556</v>
      </c>
      <c r="V299" s="1"/>
      <c r="Z299"/>
      <c r="AA299"/>
    </row>
    <row r="300" spans="7:27" x14ac:dyDescent="0.35">
      <c r="J300" s="1" t="s">
        <v>83</v>
      </c>
      <c r="K300" s="3" t="s">
        <v>154</v>
      </c>
      <c r="L300" s="4" t="s">
        <v>210</v>
      </c>
      <c r="N300" s="1" t="s">
        <v>66</v>
      </c>
      <c r="O300" s="6" t="s">
        <v>212</v>
      </c>
      <c r="P300" s="6" t="s">
        <v>559</v>
      </c>
      <c r="V300" s="1"/>
      <c r="Z300"/>
      <c r="AA300"/>
    </row>
    <row r="301" spans="7:27" x14ac:dyDescent="0.35">
      <c r="J301" s="1" t="s">
        <v>83</v>
      </c>
      <c r="K301" s="3" t="s">
        <v>154</v>
      </c>
      <c r="L301" s="4" t="s">
        <v>213</v>
      </c>
      <c r="N301" s="1" t="s">
        <v>66</v>
      </c>
      <c r="O301" s="6" t="s">
        <v>212</v>
      </c>
      <c r="P301" s="6" t="s">
        <v>562</v>
      </c>
      <c r="V301" s="1"/>
      <c r="Z301"/>
      <c r="AA301"/>
    </row>
    <row r="302" spans="7:27" x14ac:dyDescent="0.35">
      <c r="J302" s="1" t="s">
        <v>83</v>
      </c>
      <c r="K302" s="3" t="s">
        <v>154</v>
      </c>
      <c r="L302" s="4" t="s">
        <v>253</v>
      </c>
      <c r="N302" s="1" t="s">
        <v>66</v>
      </c>
      <c r="O302" s="6" t="s">
        <v>212</v>
      </c>
      <c r="P302" s="6" t="s">
        <v>565</v>
      </c>
      <c r="V302" s="1"/>
      <c r="Z302"/>
      <c r="AA302"/>
    </row>
    <row r="303" spans="7:27" x14ac:dyDescent="0.35">
      <c r="J303" s="1" t="s">
        <v>83</v>
      </c>
      <c r="K303" s="3" t="s">
        <v>154</v>
      </c>
      <c r="L303" s="4" t="s">
        <v>247</v>
      </c>
      <c r="N303" s="1" t="s">
        <v>66</v>
      </c>
      <c r="O303" s="6" t="s">
        <v>212</v>
      </c>
      <c r="P303" s="6" t="s">
        <v>568</v>
      </c>
      <c r="V303" s="1"/>
      <c r="Z303"/>
      <c r="AA303"/>
    </row>
    <row r="304" spans="7:27" x14ac:dyDescent="0.35">
      <c r="J304" s="1" t="s">
        <v>83</v>
      </c>
      <c r="K304" s="3" t="s">
        <v>154</v>
      </c>
      <c r="L304" s="4" t="s">
        <v>137</v>
      </c>
      <c r="N304" s="1" t="s">
        <v>66</v>
      </c>
      <c r="O304" s="6" t="s">
        <v>212</v>
      </c>
      <c r="P304" s="6" t="s">
        <v>571</v>
      </c>
      <c r="V304" s="1"/>
      <c r="Z304"/>
      <c r="AA304"/>
    </row>
    <row r="305" spans="10:27" x14ac:dyDescent="0.35">
      <c r="J305" s="1" t="s">
        <v>83</v>
      </c>
      <c r="K305" s="3" t="s">
        <v>154</v>
      </c>
      <c r="L305" s="4" t="s">
        <v>217</v>
      </c>
      <c r="N305" s="1" t="s">
        <v>66</v>
      </c>
      <c r="O305" s="6" t="s">
        <v>212</v>
      </c>
      <c r="P305" s="6" t="s">
        <v>574</v>
      </c>
      <c r="V305" s="1"/>
      <c r="Z305"/>
      <c r="AA305"/>
    </row>
    <row r="306" spans="10:27" x14ac:dyDescent="0.35">
      <c r="J306" s="1" t="s">
        <v>83</v>
      </c>
      <c r="K306" s="3" t="s">
        <v>154</v>
      </c>
      <c r="L306" s="4" t="s">
        <v>256</v>
      </c>
      <c r="N306" s="1" t="s">
        <v>66</v>
      </c>
      <c r="O306" s="6" t="s">
        <v>212</v>
      </c>
      <c r="P306" s="6" t="s">
        <v>577</v>
      </c>
      <c r="V306" s="1"/>
      <c r="Z306"/>
      <c r="AA306"/>
    </row>
    <row r="307" spans="10:27" x14ac:dyDescent="0.35">
      <c r="J307" s="1" t="s">
        <v>83</v>
      </c>
      <c r="K307" s="3" t="s">
        <v>154</v>
      </c>
      <c r="L307" s="4" t="s">
        <v>220</v>
      </c>
      <c r="N307" s="1" t="s">
        <v>66</v>
      </c>
      <c r="O307" s="6" t="s">
        <v>212</v>
      </c>
      <c r="P307" s="6" t="s">
        <v>580</v>
      </c>
      <c r="V307" s="1"/>
      <c r="Z307"/>
      <c r="AA307"/>
    </row>
    <row r="308" spans="10:27" x14ac:dyDescent="0.35">
      <c r="J308" s="1" t="s">
        <v>83</v>
      </c>
      <c r="K308" s="3" t="s">
        <v>154</v>
      </c>
      <c r="L308" s="4" t="s">
        <v>223</v>
      </c>
      <c r="N308" s="1" t="s">
        <v>66</v>
      </c>
      <c r="O308" s="6" t="s">
        <v>209</v>
      </c>
      <c r="P308" s="6" t="s">
        <v>583</v>
      </c>
      <c r="V308" s="1"/>
      <c r="Z308"/>
      <c r="AA308"/>
    </row>
    <row r="309" spans="10:27" x14ac:dyDescent="0.35">
      <c r="J309" s="1" t="s">
        <v>83</v>
      </c>
      <c r="K309" s="3" t="s">
        <v>154</v>
      </c>
      <c r="L309" s="4" t="s">
        <v>226</v>
      </c>
      <c r="N309" s="1" t="s">
        <v>66</v>
      </c>
      <c r="O309" s="6" t="s">
        <v>209</v>
      </c>
      <c r="P309" s="6" t="s">
        <v>586</v>
      </c>
      <c r="V309" s="1"/>
      <c r="Z309"/>
      <c r="AA309"/>
    </row>
    <row r="310" spans="10:27" x14ac:dyDescent="0.35">
      <c r="J310" s="1" t="s">
        <v>83</v>
      </c>
      <c r="K310" s="3" t="s">
        <v>154</v>
      </c>
      <c r="L310" s="4" t="s">
        <v>229</v>
      </c>
      <c r="N310" s="1" t="s">
        <v>66</v>
      </c>
      <c r="O310" s="6" t="s">
        <v>209</v>
      </c>
      <c r="P310" s="6" t="s">
        <v>589</v>
      </c>
      <c r="V310" s="1"/>
      <c r="Z310"/>
      <c r="AA310"/>
    </row>
    <row r="311" spans="10:27" x14ac:dyDescent="0.35">
      <c r="J311" s="1" t="s">
        <v>83</v>
      </c>
      <c r="K311" s="3" t="s">
        <v>154</v>
      </c>
      <c r="L311" s="4" t="s">
        <v>232</v>
      </c>
      <c r="N311" s="1" t="s">
        <v>66</v>
      </c>
      <c r="O311" s="6" t="s">
        <v>246</v>
      </c>
      <c r="P311" s="6" t="s">
        <v>592</v>
      </c>
      <c r="V311" s="1"/>
      <c r="Z311"/>
      <c r="AA311"/>
    </row>
    <row r="312" spans="10:27" x14ac:dyDescent="0.35">
      <c r="J312" s="1" t="s">
        <v>83</v>
      </c>
      <c r="K312" s="3" t="s">
        <v>154</v>
      </c>
      <c r="L312" s="4" t="s">
        <v>235</v>
      </c>
      <c r="N312" s="1" t="s">
        <v>66</v>
      </c>
      <c r="O312" s="6" t="s">
        <v>246</v>
      </c>
      <c r="P312" s="6" t="s">
        <v>595</v>
      </c>
      <c r="V312" s="1"/>
      <c r="Z312"/>
      <c r="AA312"/>
    </row>
    <row r="313" spans="10:27" x14ac:dyDescent="0.35">
      <c r="J313" s="1" t="s">
        <v>83</v>
      </c>
      <c r="K313" s="3" t="s">
        <v>154</v>
      </c>
      <c r="L313" s="4" t="s">
        <v>238</v>
      </c>
      <c r="N313" s="1" t="s">
        <v>66</v>
      </c>
      <c r="O313" s="6" t="s">
        <v>246</v>
      </c>
      <c r="P313" s="6" t="s">
        <v>598</v>
      </c>
      <c r="V313" s="1"/>
      <c r="Z313"/>
      <c r="AA313"/>
    </row>
    <row r="314" spans="10:27" x14ac:dyDescent="0.35">
      <c r="J314" s="1" t="s">
        <v>83</v>
      </c>
      <c r="K314" s="3" t="s">
        <v>154</v>
      </c>
      <c r="L314" s="4" t="s">
        <v>241</v>
      </c>
      <c r="N314" s="1" t="s">
        <v>66</v>
      </c>
      <c r="O314" s="6" t="s">
        <v>246</v>
      </c>
      <c r="P314" s="6" t="s">
        <v>601</v>
      </c>
      <c r="V314" s="1"/>
      <c r="Z314"/>
      <c r="AA314"/>
    </row>
    <row r="315" spans="10:27" x14ac:dyDescent="0.35">
      <c r="J315" s="1" t="s">
        <v>83</v>
      </c>
      <c r="K315" s="3" t="s">
        <v>149</v>
      </c>
      <c r="L315" s="4" t="s">
        <v>220</v>
      </c>
      <c r="N315" s="1" t="s">
        <v>66</v>
      </c>
      <c r="O315" s="6" t="s">
        <v>246</v>
      </c>
      <c r="P315" s="6" t="s">
        <v>604</v>
      </c>
      <c r="V315" s="1"/>
      <c r="Z315"/>
      <c r="AA315"/>
    </row>
    <row r="316" spans="10:27" x14ac:dyDescent="0.35">
      <c r="J316" s="1" t="s">
        <v>83</v>
      </c>
      <c r="K316" s="3" t="s">
        <v>149</v>
      </c>
      <c r="L316" s="4" t="s">
        <v>223</v>
      </c>
      <c r="N316" s="1" t="s">
        <v>66</v>
      </c>
      <c r="O316" s="6" t="s">
        <v>246</v>
      </c>
      <c r="P316" s="6" t="s">
        <v>607</v>
      </c>
      <c r="V316" s="1"/>
      <c r="Z316"/>
      <c r="AA316"/>
    </row>
    <row r="317" spans="10:27" x14ac:dyDescent="0.35">
      <c r="J317" s="1" t="s">
        <v>83</v>
      </c>
      <c r="K317" s="3" t="s">
        <v>149</v>
      </c>
      <c r="L317" s="4" t="s">
        <v>226</v>
      </c>
      <c r="N317" s="1" t="s">
        <v>66</v>
      </c>
      <c r="O317" s="6" t="s">
        <v>246</v>
      </c>
      <c r="P317" s="6" t="s">
        <v>610</v>
      </c>
      <c r="V317" s="1"/>
      <c r="Z317"/>
      <c r="AA317"/>
    </row>
    <row r="318" spans="10:27" x14ac:dyDescent="0.35">
      <c r="J318" s="1" t="s">
        <v>83</v>
      </c>
      <c r="K318" s="3" t="s">
        <v>149</v>
      </c>
      <c r="L318" s="4" t="s">
        <v>229</v>
      </c>
      <c r="N318" s="1" t="s">
        <v>66</v>
      </c>
      <c r="O318" s="6" t="s">
        <v>246</v>
      </c>
      <c r="P318" s="6" t="s">
        <v>613</v>
      </c>
      <c r="V318" s="1"/>
      <c r="Z318"/>
      <c r="AA318"/>
    </row>
    <row r="319" spans="10:27" x14ac:dyDescent="0.35">
      <c r="J319" s="1" t="s">
        <v>83</v>
      </c>
      <c r="K319" s="3" t="s">
        <v>149</v>
      </c>
      <c r="L319" s="4" t="s">
        <v>232</v>
      </c>
      <c r="N319" s="1" t="s">
        <v>66</v>
      </c>
      <c r="O319" s="6" t="s">
        <v>246</v>
      </c>
      <c r="P319" s="6" t="s">
        <v>616</v>
      </c>
      <c r="V319" s="1"/>
      <c r="Z319"/>
      <c r="AA319"/>
    </row>
    <row r="320" spans="10:27" x14ac:dyDescent="0.35">
      <c r="J320" s="1" t="s">
        <v>83</v>
      </c>
      <c r="K320" s="3" t="s">
        <v>149</v>
      </c>
      <c r="L320" s="4" t="s">
        <v>235</v>
      </c>
      <c r="N320" s="1" t="s">
        <v>66</v>
      </c>
      <c r="O320" s="6" t="s">
        <v>246</v>
      </c>
      <c r="P320" s="6" t="s">
        <v>619</v>
      </c>
      <c r="V320" s="1"/>
      <c r="Z320"/>
      <c r="AA320"/>
    </row>
    <row r="321" spans="10:27" x14ac:dyDescent="0.35">
      <c r="J321" s="1" t="s">
        <v>83</v>
      </c>
      <c r="K321" s="3" t="s">
        <v>149</v>
      </c>
      <c r="L321" s="4" t="s">
        <v>238</v>
      </c>
      <c r="N321" s="1" t="s">
        <v>66</v>
      </c>
      <c r="O321" s="6" t="s">
        <v>243</v>
      </c>
      <c r="P321" s="6" t="s">
        <v>622</v>
      </c>
      <c r="V321" s="1"/>
      <c r="Z321"/>
      <c r="AA321"/>
    </row>
    <row r="322" spans="10:27" x14ac:dyDescent="0.35">
      <c r="J322" s="1" t="s">
        <v>83</v>
      </c>
      <c r="K322" s="3" t="s">
        <v>149</v>
      </c>
      <c r="L322" s="4" t="s">
        <v>241</v>
      </c>
      <c r="N322" s="1" t="s">
        <v>66</v>
      </c>
      <c r="O322" s="6" t="s">
        <v>243</v>
      </c>
      <c r="P322" s="6" t="s">
        <v>625</v>
      </c>
      <c r="V322" s="1"/>
      <c r="Z322"/>
      <c r="AA322"/>
    </row>
    <row r="323" spans="10:27" x14ac:dyDescent="0.35">
      <c r="N323" s="1" t="s">
        <v>66</v>
      </c>
      <c r="O323" s="6" t="s">
        <v>243</v>
      </c>
      <c r="P323" s="6" t="s">
        <v>628</v>
      </c>
      <c r="V323" s="1"/>
      <c r="Z323"/>
      <c r="AA323"/>
    </row>
    <row r="324" spans="10:27" x14ac:dyDescent="0.35">
      <c r="N324" s="1" t="s">
        <v>66</v>
      </c>
      <c r="O324" s="6" t="s">
        <v>243</v>
      </c>
      <c r="P324" s="6" t="s">
        <v>631</v>
      </c>
      <c r="V324" s="1"/>
      <c r="Z324"/>
      <c r="AA324"/>
    </row>
    <row r="325" spans="10:27" x14ac:dyDescent="0.35">
      <c r="N325" s="1" t="s">
        <v>66</v>
      </c>
      <c r="O325" s="6" t="s">
        <v>243</v>
      </c>
      <c r="P325" s="6" t="s">
        <v>634</v>
      </c>
      <c r="V325" s="1"/>
      <c r="Z325"/>
      <c r="AA325"/>
    </row>
    <row r="326" spans="10:27" x14ac:dyDescent="0.35">
      <c r="N326" s="1" t="s">
        <v>66</v>
      </c>
      <c r="O326" s="6" t="s">
        <v>243</v>
      </c>
      <c r="P326" s="6" t="s">
        <v>637</v>
      </c>
      <c r="V326" s="1"/>
      <c r="Z326"/>
      <c r="AA326"/>
    </row>
    <row r="327" spans="10:27" x14ac:dyDescent="0.35">
      <c r="N327" s="1" t="s">
        <v>66</v>
      </c>
      <c r="O327" s="6" t="s">
        <v>243</v>
      </c>
      <c r="P327" s="6" t="s">
        <v>640</v>
      </c>
      <c r="V327" s="1"/>
      <c r="Z327"/>
      <c r="AA327"/>
    </row>
    <row r="328" spans="10:27" x14ac:dyDescent="0.35">
      <c r="N328" s="1" t="s">
        <v>66</v>
      </c>
      <c r="O328" s="6" t="s">
        <v>243</v>
      </c>
      <c r="P328" s="6" t="s">
        <v>643</v>
      </c>
      <c r="V328" s="1"/>
      <c r="Z328"/>
      <c r="AA328"/>
    </row>
    <row r="329" spans="10:27" x14ac:dyDescent="0.35">
      <c r="N329" s="1" t="s">
        <v>66</v>
      </c>
      <c r="O329" s="6" t="s">
        <v>243</v>
      </c>
      <c r="P329" s="6" t="s">
        <v>646</v>
      </c>
      <c r="V329" s="1"/>
      <c r="Z329"/>
      <c r="AA329"/>
    </row>
    <row r="330" spans="10:27" x14ac:dyDescent="0.35">
      <c r="N330" s="1" t="s">
        <v>66</v>
      </c>
      <c r="O330" s="6" t="s">
        <v>243</v>
      </c>
      <c r="P330" s="6" t="s">
        <v>649</v>
      </c>
      <c r="V330" s="1"/>
      <c r="Z330"/>
      <c r="AA330"/>
    </row>
    <row r="331" spans="10:27" x14ac:dyDescent="0.35">
      <c r="N331" s="1" t="s">
        <v>66</v>
      </c>
      <c r="O331" s="6" t="s">
        <v>255</v>
      </c>
      <c r="P331" s="6" t="s">
        <v>652</v>
      </c>
      <c r="V331" s="1"/>
      <c r="Z331"/>
      <c r="AA331"/>
    </row>
    <row r="332" spans="10:27" x14ac:dyDescent="0.35">
      <c r="N332" s="1" t="s">
        <v>66</v>
      </c>
      <c r="O332" s="6" t="s">
        <v>255</v>
      </c>
      <c r="P332" s="6" t="s">
        <v>654</v>
      </c>
      <c r="V332" s="1"/>
      <c r="Z332"/>
      <c r="AA332"/>
    </row>
    <row r="333" spans="10:27" x14ac:dyDescent="0.35">
      <c r="N333" s="1" t="s">
        <v>66</v>
      </c>
      <c r="O333" s="6" t="s">
        <v>255</v>
      </c>
      <c r="P333" s="6" t="s">
        <v>656</v>
      </c>
      <c r="V333" s="1"/>
      <c r="Z333"/>
      <c r="AA333"/>
    </row>
    <row r="334" spans="10:27" x14ac:dyDescent="0.35">
      <c r="N334" s="1" t="s">
        <v>66</v>
      </c>
      <c r="O334" s="6" t="s">
        <v>255</v>
      </c>
      <c r="P334" s="6" t="s">
        <v>658</v>
      </c>
      <c r="V334" s="1"/>
      <c r="Z334"/>
      <c r="AA334"/>
    </row>
    <row r="335" spans="10:27" x14ac:dyDescent="0.35">
      <c r="N335" s="1" t="s">
        <v>66</v>
      </c>
      <c r="O335" s="6" t="s">
        <v>255</v>
      </c>
      <c r="P335" s="6" t="s">
        <v>660</v>
      </c>
      <c r="V335" s="1"/>
      <c r="Z335"/>
      <c r="AA335"/>
    </row>
    <row r="336" spans="10:27" x14ac:dyDescent="0.35">
      <c r="N336" s="1" t="s">
        <v>66</v>
      </c>
      <c r="O336" s="6" t="s">
        <v>255</v>
      </c>
      <c r="P336" s="6" t="s">
        <v>662</v>
      </c>
      <c r="V336" s="1"/>
      <c r="Z336"/>
      <c r="AA336"/>
    </row>
    <row r="337" spans="14:27" x14ac:dyDescent="0.35">
      <c r="N337" s="1" t="s">
        <v>66</v>
      </c>
      <c r="O337" s="6" t="s">
        <v>255</v>
      </c>
      <c r="P337" s="6" t="s">
        <v>664</v>
      </c>
      <c r="V337" s="1"/>
      <c r="Z337"/>
      <c r="AA337"/>
    </row>
    <row r="338" spans="14:27" x14ac:dyDescent="0.35">
      <c r="N338" s="1" t="s">
        <v>66</v>
      </c>
      <c r="O338" s="6" t="s">
        <v>249</v>
      </c>
      <c r="P338" s="6" t="s">
        <v>666</v>
      </c>
      <c r="V338" s="1"/>
      <c r="Z338"/>
      <c r="AA338"/>
    </row>
    <row r="339" spans="14:27" x14ac:dyDescent="0.35">
      <c r="N339" s="1" t="s">
        <v>66</v>
      </c>
      <c r="O339" s="6" t="s">
        <v>249</v>
      </c>
      <c r="P339" s="6" t="s">
        <v>668</v>
      </c>
      <c r="V339" s="1"/>
      <c r="Z339"/>
      <c r="AA339"/>
    </row>
    <row r="340" spans="14:27" x14ac:dyDescent="0.35">
      <c r="N340" s="1" t="s">
        <v>66</v>
      </c>
      <c r="O340" s="6" t="s">
        <v>249</v>
      </c>
      <c r="P340" s="6" t="s">
        <v>670</v>
      </c>
      <c r="V340" s="1"/>
      <c r="Z340"/>
      <c r="AA340"/>
    </row>
    <row r="341" spans="14:27" x14ac:dyDescent="0.35">
      <c r="N341" s="1" t="s">
        <v>66</v>
      </c>
      <c r="O341" s="6" t="s">
        <v>249</v>
      </c>
      <c r="P341" s="6" t="s">
        <v>672</v>
      </c>
      <c r="V341" s="1"/>
      <c r="Z341"/>
      <c r="AA341"/>
    </row>
    <row r="342" spans="14:27" x14ac:dyDescent="0.35">
      <c r="N342" s="1" t="s">
        <v>66</v>
      </c>
      <c r="O342" s="6" t="s">
        <v>249</v>
      </c>
      <c r="P342" s="6" t="s">
        <v>674</v>
      </c>
      <c r="V342" s="1"/>
      <c r="Z342"/>
      <c r="AA342"/>
    </row>
    <row r="343" spans="14:27" x14ac:dyDescent="0.35">
      <c r="N343" s="1" t="s">
        <v>66</v>
      </c>
      <c r="O343" s="6" t="s">
        <v>249</v>
      </c>
      <c r="P343" s="6" t="s">
        <v>676</v>
      </c>
      <c r="V343" s="1"/>
      <c r="Z343"/>
      <c r="AA343"/>
    </row>
    <row r="344" spans="14:27" x14ac:dyDescent="0.35">
      <c r="N344" s="1" t="s">
        <v>66</v>
      </c>
      <c r="O344" s="6" t="s">
        <v>249</v>
      </c>
      <c r="P344" s="6" t="s">
        <v>678</v>
      </c>
      <c r="V344" s="1"/>
      <c r="Z344"/>
      <c r="AA344"/>
    </row>
    <row r="345" spans="14:27" x14ac:dyDescent="0.35">
      <c r="N345" s="1" t="s">
        <v>66</v>
      </c>
      <c r="O345" s="6" t="s">
        <v>249</v>
      </c>
      <c r="P345" s="6" t="s">
        <v>680</v>
      </c>
      <c r="V345" s="1"/>
      <c r="Z345"/>
      <c r="AA345"/>
    </row>
    <row r="346" spans="14:27" x14ac:dyDescent="0.35">
      <c r="N346" s="1" t="s">
        <v>66</v>
      </c>
      <c r="O346" s="6" t="s">
        <v>249</v>
      </c>
      <c r="P346" s="6" t="s">
        <v>682</v>
      </c>
      <c r="V346" s="1"/>
      <c r="Z346"/>
      <c r="AA346"/>
    </row>
    <row r="347" spans="14:27" x14ac:dyDescent="0.35">
      <c r="N347" s="1" t="s">
        <v>66</v>
      </c>
      <c r="O347" s="6" t="s">
        <v>249</v>
      </c>
      <c r="P347" s="6" t="s">
        <v>684</v>
      </c>
      <c r="V347" s="1"/>
      <c r="Z347"/>
      <c r="AA347"/>
    </row>
    <row r="348" spans="14:27" x14ac:dyDescent="0.35">
      <c r="N348" s="1" t="s">
        <v>66</v>
      </c>
      <c r="O348" s="6" t="s">
        <v>249</v>
      </c>
      <c r="P348" s="6" t="s">
        <v>686</v>
      </c>
      <c r="V348" s="1"/>
      <c r="Z348"/>
      <c r="AA348"/>
    </row>
    <row r="349" spans="14:27" x14ac:dyDescent="0.35">
      <c r="N349" s="1" t="s">
        <v>66</v>
      </c>
      <c r="O349" s="6" t="s">
        <v>252</v>
      </c>
      <c r="P349" s="6" t="s">
        <v>688</v>
      </c>
      <c r="V349" s="1"/>
      <c r="Z349"/>
      <c r="AA349"/>
    </row>
    <row r="350" spans="14:27" x14ac:dyDescent="0.35">
      <c r="N350" s="1" t="s">
        <v>66</v>
      </c>
      <c r="O350" s="6" t="s">
        <v>252</v>
      </c>
      <c r="P350" s="6" t="s">
        <v>690</v>
      </c>
      <c r="V350" s="1"/>
      <c r="Z350"/>
      <c r="AA350"/>
    </row>
    <row r="351" spans="14:27" x14ac:dyDescent="0.35">
      <c r="N351" s="1" t="s">
        <v>66</v>
      </c>
      <c r="O351" s="6" t="s">
        <v>252</v>
      </c>
      <c r="P351" s="6" t="s">
        <v>692</v>
      </c>
      <c r="V351" s="1"/>
      <c r="Z351"/>
      <c r="AA351"/>
    </row>
    <row r="352" spans="14:27" x14ac:dyDescent="0.35">
      <c r="N352" s="1" t="s">
        <v>66</v>
      </c>
      <c r="O352" s="6" t="s">
        <v>252</v>
      </c>
      <c r="P352" s="6" t="s">
        <v>694</v>
      </c>
      <c r="V352" s="1"/>
      <c r="Z352"/>
      <c r="AA352"/>
    </row>
    <row r="353" spans="14:27" x14ac:dyDescent="0.35">
      <c r="N353" s="1" t="s">
        <v>66</v>
      </c>
      <c r="O353" s="6" t="s">
        <v>252</v>
      </c>
      <c r="P353" s="6" t="s">
        <v>696</v>
      </c>
      <c r="V353" s="1"/>
      <c r="Z353"/>
      <c r="AA353"/>
    </row>
    <row r="354" spans="14:27" x14ac:dyDescent="0.35">
      <c r="N354" s="1" t="s">
        <v>66</v>
      </c>
      <c r="O354" s="6" t="s">
        <v>252</v>
      </c>
      <c r="P354" s="6" t="s">
        <v>698</v>
      </c>
      <c r="V354" s="1"/>
      <c r="Z354"/>
      <c r="AA354"/>
    </row>
    <row r="355" spans="14:27" x14ac:dyDescent="0.35">
      <c r="N355" s="1" t="s">
        <v>66</v>
      </c>
      <c r="O355" s="6" t="s">
        <v>252</v>
      </c>
      <c r="P355" s="6" t="s">
        <v>700</v>
      </c>
      <c r="V355" s="1"/>
      <c r="Z355"/>
      <c r="AA355"/>
    </row>
    <row r="356" spans="14:27" x14ac:dyDescent="0.35">
      <c r="N356" s="1" t="s">
        <v>66</v>
      </c>
      <c r="O356" s="6" t="s">
        <v>219</v>
      </c>
      <c r="P356" s="6" t="s">
        <v>702</v>
      </c>
      <c r="V356" s="1"/>
      <c r="Z356"/>
      <c r="AA356"/>
    </row>
    <row r="357" spans="14:27" x14ac:dyDescent="0.35">
      <c r="N357" s="1" t="s">
        <v>66</v>
      </c>
      <c r="O357" s="6" t="s">
        <v>219</v>
      </c>
      <c r="P357" s="6" t="s">
        <v>704</v>
      </c>
      <c r="V357" s="1"/>
      <c r="Z357"/>
      <c r="AA357"/>
    </row>
    <row r="358" spans="14:27" x14ac:dyDescent="0.35">
      <c r="N358" s="1" t="s">
        <v>66</v>
      </c>
      <c r="O358" s="6" t="s">
        <v>219</v>
      </c>
      <c r="P358" s="6" t="s">
        <v>706</v>
      </c>
      <c r="V358" s="1"/>
      <c r="Z358"/>
      <c r="AA358"/>
    </row>
    <row r="359" spans="14:27" x14ac:dyDescent="0.35">
      <c r="N359" s="1" t="s">
        <v>66</v>
      </c>
      <c r="O359" s="6" t="s">
        <v>219</v>
      </c>
      <c r="P359" s="6" t="s">
        <v>708</v>
      </c>
      <c r="V359" s="1"/>
      <c r="Z359"/>
      <c r="AA359"/>
    </row>
    <row r="360" spans="14:27" x14ac:dyDescent="0.35">
      <c r="N360" s="1" t="s">
        <v>66</v>
      </c>
      <c r="O360" s="6" t="s">
        <v>219</v>
      </c>
      <c r="P360" s="6" t="s">
        <v>710</v>
      </c>
      <c r="V360" s="1"/>
      <c r="Z360"/>
      <c r="AA360"/>
    </row>
    <row r="361" spans="14:27" x14ac:dyDescent="0.35">
      <c r="N361" s="1" t="s">
        <v>66</v>
      </c>
      <c r="O361" s="6" t="s">
        <v>222</v>
      </c>
      <c r="P361" s="6" t="s">
        <v>712</v>
      </c>
      <c r="V361" s="1"/>
      <c r="Z361"/>
      <c r="AA361"/>
    </row>
    <row r="362" spans="14:27" x14ac:dyDescent="0.35">
      <c r="N362" s="1" t="s">
        <v>66</v>
      </c>
      <c r="O362" s="6" t="s">
        <v>222</v>
      </c>
      <c r="P362" s="6" t="s">
        <v>714</v>
      </c>
      <c r="V362" s="1"/>
      <c r="Z362"/>
      <c r="AA362"/>
    </row>
    <row r="363" spans="14:27" x14ac:dyDescent="0.35">
      <c r="N363" s="1" t="s">
        <v>66</v>
      </c>
      <c r="O363" s="6" t="s">
        <v>222</v>
      </c>
      <c r="P363" s="6" t="s">
        <v>716</v>
      </c>
      <c r="V363" s="1"/>
      <c r="Z363"/>
      <c r="AA363"/>
    </row>
    <row r="364" spans="14:27" x14ac:dyDescent="0.35">
      <c r="N364" s="1" t="s">
        <v>66</v>
      </c>
      <c r="O364" s="6" t="s">
        <v>222</v>
      </c>
      <c r="P364" s="6" t="s">
        <v>718</v>
      </c>
      <c r="V364" s="1"/>
      <c r="Z364"/>
      <c r="AA364"/>
    </row>
    <row r="365" spans="14:27" x14ac:dyDescent="0.35">
      <c r="N365" s="1" t="s">
        <v>66</v>
      </c>
      <c r="O365" s="6" t="s">
        <v>222</v>
      </c>
      <c r="P365" s="6" t="s">
        <v>720</v>
      </c>
      <c r="V365" s="1"/>
      <c r="Z365"/>
      <c r="AA365"/>
    </row>
    <row r="366" spans="14:27" x14ac:dyDescent="0.35">
      <c r="N366" s="1" t="s">
        <v>66</v>
      </c>
      <c r="O366" s="6" t="s">
        <v>222</v>
      </c>
      <c r="P366" s="6" t="s">
        <v>722</v>
      </c>
      <c r="V366" s="1"/>
      <c r="Z366"/>
      <c r="AA366"/>
    </row>
    <row r="367" spans="14:27" x14ac:dyDescent="0.35">
      <c r="N367" s="1" t="s">
        <v>66</v>
      </c>
      <c r="O367" s="6" t="s">
        <v>222</v>
      </c>
      <c r="P367" s="6" t="s">
        <v>724</v>
      </c>
      <c r="V367" s="1"/>
      <c r="Z367"/>
      <c r="AA367"/>
    </row>
    <row r="368" spans="14:27" x14ac:dyDescent="0.35">
      <c r="N368" s="1" t="s">
        <v>66</v>
      </c>
      <c r="O368" s="6" t="s">
        <v>225</v>
      </c>
      <c r="P368" s="6" t="s">
        <v>726</v>
      </c>
      <c r="V368" s="1"/>
      <c r="Z368"/>
      <c r="AA368"/>
    </row>
    <row r="369" spans="14:27" x14ac:dyDescent="0.35">
      <c r="N369" s="1" t="s">
        <v>66</v>
      </c>
      <c r="O369" s="6" t="s">
        <v>225</v>
      </c>
      <c r="P369" s="6" t="s">
        <v>728</v>
      </c>
      <c r="V369" s="1"/>
      <c r="Z369"/>
      <c r="AA369"/>
    </row>
    <row r="370" spans="14:27" x14ac:dyDescent="0.35">
      <c r="N370" s="1" t="s">
        <v>66</v>
      </c>
      <c r="O370" s="6" t="s">
        <v>225</v>
      </c>
      <c r="P370" s="6" t="s">
        <v>730</v>
      </c>
      <c r="V370" s="1"/>
      <c r="Z370"/>
      <c r="AA370"/>
    </row>
    <row r="371" spans="14:27" x14ac:dyDescent="0.35">
      <c r="N371" s="1" t="s">
        <v>66</v>
      </c>
      <c r="O371" s="6" t="s">
        <v>228</v>
      </c>
      <c r="P371" s="6" t="s">
        <v>732</v>
      </c>
      <c r="V371" s="1"/>
      <c r="Z371"/>
      <c r="AA371"/>
    </row>
    <row r="372" spans="14:27" x14ac:dyDescent="0.35">
      <c r="N372" s="1" t="s">
        <v>66</v>
      </c>
      <c r="O372" s="6" t="s">
        <v>228</v>
      </c>
      <c r="P372" s="6" t="s">
        <v>734</v>
      </c>
      <c r="V372" s="1"/>
      <c r="Z372"/>
      <c r="AA372"/>
    </row>
    <row r="373" spans="14:27" x14ac:dyDescent="0.35">
      <c r="N373" s="1" t="s">
        <v>66</v>
      </c>
      <c r="O373" s="6" t="s">
        <v>228</v>
      </c>
      <c r="P373" s="6" t="s">
        <v>736</v>
      </c>
      <c r="V373" s="1"/>
      <c r="Z373"/>
      <c r="AA373"/>
    </row>
    <row r="374" spans="14:27" x14ac:dyDescent="0.35">
      <c r="N374" s="1" t="s">
        <v>66</v>
      </c>
      <c r="O374" s="6" t="s">
        <v>228</v>
      </c>
      <c r="P374" s="6" t="s">
        <v>738</v>
      </c>
      <c r="V374" s="1"/>
      <c r="Z374"/>
      <c r="AA374"/>
    </row>
    <row r="375" spans="14:27" x14ac:dyDescent="0.35">
      <c r="N375" s="1" t="s">
        <v>66</v>
      </c>
      <c r="O375" s="6" t="s">
        <v>228</v>
      </c>
      <c r="P375" s="6" t="s">
        <v>740</v>
      </c>
      <c r="V375" s="1"/>
      <c r="Z375"/>
      <c r="AA375"/>
    </row>
    <row r="376" spans="14:27" x14ac:dyDescent="0.35">
      <c r="N376" s="1" t="s">
        <v>66</v>
      </c>
      <c r="O376" s="6" t="s">
        <v>228</v>
      </c>
      <c r="P376" s="6" t="s">
        <v>742</v>
      </c>
      <c r="V376" s="1"/>
      <c r="Z376"/>
      <c r="AA376"/>
    </row>
    <row r="377" spans="14:27" x14ac:dyDescent="0.35">
      <c r="N377" s="1" t="s">
        <v>66</v>
      </c>
      <c r="O377" s="6" t="s">
        <v>231</v>
      </c>
      <c r="P377" s="6" t="s">
        <v>744</v>
      </c>
      <c r="V377" s="1"/>
      <c r="Z377"/>
      <c r="AA377"/>
    </row>
    <row r="378" spans="14:27" x14ac:dyDescent="0.35">
      <c r="N378" s="1" t="s">
        <v>66</v>
      </c>
      <c r="O378" s="6" t="s">
        <v>231</v>
      </c>
      <c r="P378" s="6" t="s">
        <v>746</v>
      </c>
      <c r="V378" s="1"/>
      <c r="Z378"/>
      <c r="AA378"/>
    </row>
    <row r="379" spans="14:27" x14ac:dyDescent="0.35">
      <c r="N379" s="1" t="s">
        <v>66</v>
      </c>
      <c r="O379" s="6" t="s">
        <v>231</v>
      </c>
      <c r="P379" s="6" t="s">
        <v>748</v>
      </c>
      <c r="V379" s="1"/>
      <c r="Z379"/>
      <c r="AA379"/>
    </row>
    <row r="380" spans="14:27" x14ac:dyDescent="0.35">
      <c r="N380" s="1" t="s">
        <v>66</v>
      </c>
      <c r="O380" s="6" t="s">
        <v>234</v>
      </c>
      <c r="P380" s="6" t="s">
        <v>750</v>
      </c>
      <c r="V380" s="1"/>
      <c r="Z380"/>
      <c r="AA380"/>
    </row>
    <row r="381" spans="14:27" x14ac:dyDescent="0.35">
      <c r="N381" s="1" t="s">
        <v>66</v>
      </c>
      <c r="O381" s="6" t="s">
        <v>234</v>
      </c>
      <c r="P381" s="6" t="s">
        <v>752</v>
      </c>
      <c r="V381" s="1"/>
      <c r="Z381"/>
      <c r="AA381"/>
    </row>
    <row r="382" spans="14:27" x14ac:dyDescent="0.35">
      <c r="N382" s="1" t="s">
        <v>66</v>
      </c>
      <c r="O382" s="6" t="s">
        <v>237</v>
      </c>
      <c r="P382" s="6" t="s">
        <v>754</v>
      </c>
      <c r="V382" s="1"/>
      <c r="Z382"/>
      <c r="AA382"/>
    </row>
    <row r="383" spans="14:27" x14ac:dyDescent="0.35">
      <c r="N383" s="1" t="s">
        <v>66</v>
      </c>
      <c r="O383" s="6" t="s">
        <v>237</v>
      </c>
      <c r="P383" s="6" t="s">
        <v>756</v>
      </c>
      <c r="V383" s="1"/>
      <c r="Z383"/>
      <c r="AA383"/>
    </row>
    <row r="384" spans="14:27" x14ac:dyDescent="0.35">
      <c r="N384" s="1" t="s">
        <v>66</v>
      </c>
      <c r="O384" s="6" t="s">
        <v>237</v>
      </c>
      <c r="P384" s="6" t="s">
        <v>758</v>
      </c>
      <c r="V384" s="1"/>
      <c r="Z384"/>
      <c r="AA384"/>
    </row>
    <row r="385" spans="14:27" x14ac:dyDescent="0.35">
      <c r="N385" s="1" t="s">
        <v>66</v>
      </c>
      <c r="O385" s="6" t="s">
        <v>237</v>
      </c>
      <c r="P385" s="6" t="s">
        <v>760</v>
      </c>
      <c r="V385" s="1"/>
      <c r="Z385"/>
      <c r="AA385"/>
    </row>
    <row r="386" spans="14:27" x14ac:dyDescent="0.35">
      <c r="N386" s="1" t="s">
        <v>66</v>
      </c>
      <c r="O386" s="6" t="s">
        <v>237</v>
      </c>
      <c r="P386" s="6" t="s">
        <v>762</v>
      </c>
      <c r="V386" s="1"/>
      <c r="Z386"/>
      <c r="AA386"/>
    </row>
    <row r="387" spans="14:27" x14ac:dyDescent="0.35">
      <c r="N387" s="1" t="s">
        <v>66</v>
      </c>
      <c r="O387" s="6" t="s">
        <v>240</v>
      </c>
      <c r="P387" s="6" t="s">
        <v>583</v>
      </c>
      <c r="V387" s="1"/>
      <c r="Z387"/>
      <c r="AA387"/>
    </row>
    <row r="388" spans="14:27" x14ac:dyDescent="0.35">
      <c r="N388" s="1" t="s">
        <v>66</v>
      </c>
      <c r="O388" s="6" t="s">
        <v>240</v>
      </c>
      <c r="P388" s="6" t="s">
        <v>586</v>
      </c>
      <c r="V388" s="1"/>
      <c r="Z388"/>
      <c r="AA388"/>
    </row>
    <row r="389" spans="14:27" x14ac:dyDescent="0.35">
      <c r="N389" s="1" t="s">
        <v>66</v>
      </c>
      <c r="O389" s="6" t="s">
        <v>240</v>
      </c>
      <c r="P389" s="6" t="s">
        <v>589</v>
      </c>
      <c r="V389" s="1"/>
      <c r="Z389"/>
      <c r="AA389"/>
    </row>
    <row r="390" spans="14:27" x14ac:dyDescent="0.35">
      <c r="N390" s="1" t="s">
        <v>83</v>
      </c>
      <c r="O390" s="4" t="s">
        <v>203</v>
      </c>
      <c r="P390" s="4" t="s">
        <v>259</v>
      </c>
      <c r="V390" s="1"/>
      <c r="Z390"/>
      <c r="AA390"/>
    </row>
    <row r="391" spans="14:27" x14ac:dyDescent="0.35">
      <c r="N391" s="1" t="s">
        <v>83</v>
      </c>
      <c r="O391" s="4" t="s">
        <v>203</v>
      </c>
      <c r="P391" s="4" t="s">
        <v>262</v>
      </c>
      <c r="V391" s="1"/>
      <c r="Z391"/>
      <c r="AA391"/>
    </row>
    <row r="392" spans="14:27" x14ac:dyDescent="0.35">
      <c r="N392" s="1" t="s">
        <v>83</v>
      </c>
      <c r="O392" s="4" t="s">
        <v>203</v>
      </c>
      <c r="P392" s="4" t="s">
        <v>265</v>
      </c>
      <c r="V392" s="1"/>
      <c r="Z392"/>
      <c r="AA392"/>
    </row>
    <row r="393" spans="14:27" x14ac:dyDescent="0.35">
      <c r="N393" s="1" t="s">
        <v>83</v>
      </c>
      <c r="O393" s="4" t="s">
        <v>203</v>
      </c>
      <c r="P393" s="4" t="s">
        <v>268</v>
      </c>
      <c r="V393" s="1"/>
      <c r="Z393"/>
      <c r="AA393"/>
    </row>
    <row r="394" spans="14:27" x14ac:dyDescent="0.35">
      <c r="N394" s="1" t="s">
        <v>83</v>
      </c>
      <c r="O394" s="4" t="s">
        <v>203</v>
      </c>
      <c r="P394" s="4" t="s">
        <v>271</v>
      </c>
      <c r="V394" s="1"/>
      <c r="Z394"/>
      <c r="AA394"/>
    </row>
    <row r="395" spans="14:27" x14ac:dyDescent="0.35">
      <c r="N395" s="1" t="s">
        <v>83</v>
      </c>
      <c r="O395" s="4" t="s">
        <v>203</v>
      </c>
      <c r="P395" s="4" t="s">
        <v>274</v>
      </c>
      <c r="V395" s="1"/>
      <c r="Z395"/>
      <c r="AA395"/>
    </row>
    <row r="396" spans="14:27" x14ac:dyDescent="0.35">
      <c r="N396" s="1" t="s">
        <v>83</v>
      </c>
      <c r="O396" s="4" t="s">
        <v>203</v>
      </c>
      <c r="P396" s="4" t="s">
        <v>277</v>
      </c>
      <c r="V396" s="1"/>
      <c r="Z396"/>
      <c r="AA396"/>
    </row>
    <row r="397" spans="14:27" x14ac:dyDescent="0.35">
      <c r="N397" s="1" t="s">
        <v>83</v>
      </c>
      <c r="O397" s="4" t="s">
        <v>203</v>
      </c>
      <c r="P397" s="4" t="s">
        <v>280</v>
      </c>
      <c r="V397" s="1"/>
      <c r="Z397"/>
      <c r="AA397"/>
    </row>
    <row r="398" spans="14:27" x14ac:dyDescent="0.35">
      <c r="N398" s="1" t="s">
        <v>83</v>
      </c>
      <c r="O398" s="4" t="s">
        <v>177</v>
      </c>
      <c r="P398" s="4" t="s">
        <v>283</v>
      </c>
      <c r="V398" s="1"/>
      <c r="Z398"/>
      <c r="AA398"/>
    </row>
    <row r="399" spans="14:27" x14ac:dyDescent="0.35">
      <c r="N399" s="1" t="s">
        <v>83</v>
      </c>
      <c r="O399" s="4" t="s">
        <v>177</v>
      </c>
      <c r="P399" s="4" t="s">
        <v>285</v>
      </c>
      <c r="V399" s="1"/>
      <c r="Z399"/>
      <c r="AA399"/>
    </row>
    <row r="400" spans="14:27" x14ac:dyDescent="0.35">
      <c r="N400" s="1" t="s">
        <v>83</v>
      </c>
      <c r="O400" s="4" t="s">
        <v>177</v>
      </c>
      <c r="P400" s="4" t="s">
        <v>288</v>
      </c>
      <c r="V400" s="1"/>
      <c r="Z400"/>
      <c r="AA400"/>
    </row>
    <row r="401" spans="14:27" x14ac:dyDescent="0.35">
      <c r="N401" s="1" t="s">
        <v>83</v>
      </c>
      <c r="O401" s="4" t="s">
        <v>177</v>
      </c>
      <c r="P401" s="4" t="s">
        <v>291</v>
      </c>
      <c r="V401" s="1"/>
      <c r="Z401"/>
      <c r="AA401"/>
    </row>
    <row r="402" spans="14:27" x14ac:dyDescent="0.35">
      <c r="N402" s="1" t="s">
        <v>83</v>
      </c>
      <c r="O402" s="4" t="s">
        <v>177</v>
      </c>
      <c r="P402" s="4" t="s">
        <v>294</v>
      </c>
      <c r="V402" s="1"/>
      <c r="Z402"/>
      <c r="AA402"/>
    </row>
    <row r="403" spans="14:27" x14ac:dyDescent="0.35">
      <c r="N403" s="1" t="s">
        <v>83</v>
      </c>
      <c r="O403" s="4" t="s">
        <v>177</v>
      </c>
      <c r="P403" s="4" t="s">
        <v>297</v>
      </c>
      <c r="V403" s="1"/>
      <c r="Z403"/>
      <c r="AA403"/>
    </row>
    <row r="404" spans="14:27" x14ac:dyDescent="0.35">
      <c r="N404" s="1" t="s">
        <v>83</v>
      </c>
      <c r="O404" s="4" t="s">
        <v>177</v>
      </c>
      <c r="P404" s="4" t="s">
        <v>300</v>
      </c>
      <c r="V404" s="1"/>
      <c r="Z404"/>
      <c r="AA404"/>
    </row>
    <row r="405" spans="14:27" x14ac:dyDescent="0.35">
      <c r="N405" s="1" t="s">
        <v>83</v>
      </c>
      <c r="O405" s="4" t="s">
        <v>177</v>
      </c>
      <c r="P405" s="4" t="s">
        <v>303</v>
      </c>
      <c r="V405" s="1"/>
      <c r="Z405"/>
      <c r="AA405"/>
    </row>
    <row r="406" spans="14:27" x14ac:dyDescent="0.35">
      <c r="N406" s="1" t="s">
        <v>83</v>
      </c>
      <c r="O406" s="4" t="s">
        <v>177</v>
      </c>
      <c r="P406" s="4" t="s">
        <v>306</v>
      </c>
      <c r="V406" s="1"/>
      <c r="Z406"/>
      <c r="AA406"/>
    </row>
    <row r="407" spans="14:27" x14ac:dyDescent="0.35">
      <c r="N407" s="1" t="s">
        <v>83</v>
      </c>
      <c r="O407" s="4" t="s">
        <v>177</v>
      </c>
      <c r="P407" s="4" t="s">
        <v>309</v>
      </c>
      <c r="V407" s="1"/>
      <c r="Z407"/>
      <c r="AA407"/>
    </row>
    <row r="408" spans="14:27" x14ac:dyDescent="0.35">
      <c r="N408" s="1" t="s">
        <v>83</v>
      </c>
      <c r="O408" s="4" t="s">
        <v>177</v>
      </c>
      <c r="P408" s="4" t="s">
        <v>312</v>
      </c>
      <c r="V408" s="1"/>
      <c r="Z408"/>
      <c r="AA408"/>
    </row>
    <row r="409" spans="14:27" x14ac:dyDescent="0.35">
      <c r="N409" s="1" t="s">
        <v>83</v>
      </c>
      <c r="O409" s="4" t="s">
        <v>183</v>
      </c>
      <c r="P409" s="4" t="s">
        <v>315</v>
      </c>
      <c r="V409" s="1"/>
      <c r="Z409"/>
      <c r="AA409"/>
    </row>
    <row r="410" spans="14:27" x14ac:dyDescent="0.35">
      <c r="N410" s="1" t="s">
        <v>83</v>
      </c>
      <c r="O410" s="4" t="s">
        <v>183</v>
      </c>
      <c r="P410" s="4" t="s">
        <v>318</v>
      </c>
      <c r="V410" s="1"/>
      <c r="Z410"/>
      <c r="AA410"/>
    </row>
    <row r="411" spans="14:27" x14ac:dyDescent="0.35">
      <c r="N411" s="1" t="s">
        <v>83</v>
      </c>
      <c r="O411" s="4" t="s">
        <v>183</v>
      </c>
      <c r="P411" s="4" t="s">
        <v>320</v>
      </c>
      <c r="V411" s="1"/>
      <c r="Z411"/>
      <c r="AA411"/>
    </row>
    <row r="412" spans="14:27" x14ac:dyDescent="0.35">
      <c r="N412" s="1" t="s">
        <v>83</v>
      </c>
      <c r="O412" s="4" t="s">
        <v>183</v>
      </c>
      <c r="P412" s="4" t="s">
        <v>323</v>
      </c>
      <c r="V412" s="1"/>
      <c r="Z412"/>
      <c r="AA412"/>
    </row>
    <row r="413" spans="14:27" x14ac:dyDescent="0.35">
      <c r="N413" s="1" t="s">
        <v>83</v>
      </c>
      <c r="O413" s="4" t="s">
        <v>183</v>
      </c>
      <c r="P413" s="4" t="s">
        <v>326</v>
      </c>
      <c r="V413" s="1"/>
      <c r="Z413"/>
      <c r="AA413"/>
    </row>
    <row r="414" spans="14:27" x14ac:dyDescent="0.35">
      <c r="N414" s="1" t="s">
        <v>83</v>
      </c>
      <c r="O414" s="4" t="s">
        <v>183</v>
      </c>
      <c r="P414" s="4" t="s">
        <v>329</v>
      </c>
      <c r="V414" s="1"/>
      <c r="Z414"/>
      <c r="AA414"/>
    </row>
    <row r="415" spans="14:27" x14ac:dyDescent="0.35">
      <c r="N415" s="1" t="s">
        <v>83</v>
      </c>
      <c r="O415" s="4" t="s">
        <v>183</v>
      </c>
      <c r="P415" s="4" t="s">
        <v>332</v>
      </c>
      <c r="V415" s="1"/>
      <c r="Z415"/>
      <c r="AA415"/>
    </row>
    <row r="416" spans="14:27" x14ac:dyDescent="0.35">
      <c r="N416" s="1" t="s">
        <v>83</v>
      </c>
      <c r="O416" s="4" t="s">
        <v>183</v>
      </c>
      <c r="P416" s="4" t="s">
        <v>335</v>
      </c>
      <c r="V416" s="1"/>
      <c r="Z416"/>
      <c r="AA416"/>
    </row>
    <row r="417" spans="14:27" x14ac:dyDescent="0.35">
      <c r="N417" s="1" t="s">
        <v>83</v>
      </c>
      <c r="O417" s="4" t="s">
        <v>183</v>
      </c>
      <c r="P417" s="4" t="s">
        <v>338</v>
      </c>
      <c r="V417" s="1"/>
      <c r="Z417"/>
      <c r="AA417"/>
    </row>
    <row r="418" spans="14:27" x14ac:dyDescent="0.35">
      <c r="N418" s="1" t="s">
        <v>83</v>
      </c>
      <c r="O418" s="4" t="s">
        <v>183</v>
      </c>
      <c r="P418" s="4" t="s">
        <v>341</v>
      </c>
      <c r="V418" s="1"/>
      <c r="Z418"/>
      <c r="AA418"/>
    </row>
    <row r="419" spans="14:27" x14ac:dyDescent="0.35">
      <c r="N419" s="1" t="s">
        <v>83</v>
      </c>
      <c r="O419" s="4" t="s">
        <v>183</v>
      </c>
      <c r="P419" s="4" t="s">
        <v>344</v>
      </c>
      <c r="V419" s="1"/>
      <c r="Z419"/>
      <c r="AA419"/>
    </row>
    <row r="420" spans="14:27" x14ac:dyDescent="0.35">
      <c r="N420" s="1" t="s">
        <v>83</v>
      </c>
      <c r="O420" s="4" t="s">
        <v>180</v>
      </c>
      <c r="P420" s="4" t="s">
        <v>347</v>
      </c>
      <c r="V420" s="1"/>
      <c r="Z420"/>
      <c r="AA420"/>
    </row>
    <row r="421" spans="14:27" x14ac:dyDescent="0.35">
      <c r="N421" s="1" t="s">
        <v>83</v>
      </c>
      <c r="O421" s="4" t="s">
        <v>180</v>
      </c>
      <c r="P421" s="4" t="s">
        <v>350</v>
      </c>
      <c r="V421" s="1"/>
      <c r="Z421"/>
      <c r="AA421"/>
    </row>
    <row r="422" spans="14:27" x14ac:dyDescent="0.35">
      <c r="N422" s="1" t="s">
        <v>83</v>
      </c>
      <c r="O422" s="4" t="s">
        <v>180</v>
      </c>
      <c r="P422" s="4" t="s">
        <v>353</v>
      </c>
      <c r="V422" s="1"/>
      <c r="Z422"/>
      <c r="AA422"/>
    </row>
    <row r="423" spans="14:27" x14ac:dyDescent="0.35">
      <c r="N423" s="1" t="s">
        <v>83</v>
      </c>
      <c r="O423" s="4" t="s">
        <v>180</v>
      </c>
      <c r="P423" s="4" t="s">
        <v>356</v>
      </c>
      <c r="V423" s="1"/>
      <c r="Z423"/>
      <c r="AA423"/>
    </row>
    <row r="424" spans="14:27" x14ac:dyDescent="0.35">
      <c r="N424" s="1" t="s">
        <v>83</v>
      </c>
      <c r="O424" s="4" t="s">
        <v>180</v>
      </c>
      <c r="P424" s="4" t="s">
        <v>359</v>
      </c>
      <c r="V424" s="1"/>
      <c r="Z424"/>
      <c r="AA424"/>
    </row>
    <row r="425" spans="14:27" x14ac:dyDescent="0.35">
      <c r="N425" s="1" t="s">
        <v>83</v>
      </c>
      <c r="O425" s="4" t="s">
        <v>180</v>
      </c>
      <c r="P425" s="4" t="s">
        <v>362</v>
      </c>
      <c r="V425" s="1"/>
      <c r="Z425"/>
      <c r="AA425"/>
    </row>
    <row r="426" spans="14:27" x14ac:dyDescent="0.35">
      <c r="N426" s="1" t="s">
        <v>83</v>
      </c>
      <c r="O426" s="4" t="s">
        <v>180</v>
      </c>
      <c r="P426" s="4" t="s">
        <v>365</v>
      </c>
      <c r="V426" s="1"/>
      <c r="Z426"/>
      <c r="AA426"/>
    </row>
    <row r="427" spans="14:27" x14ac:dyDescent="0.35">
      <c r="N427" s="1" t="s">
        <v>83</v>
      </c>
      <c r="O427" s="4" t="s">
        <v>180</v>
      </c>
      <c r="P427" s="4" t="s">
        <v>368</v>
      </c>
      <c r="V427" s="1"/>
      <c r="Z427"/>
      <c r="AA427"/>
    </row>
    <row r="428" spans="14:27" x14ac:dyDescent="0.35">
      <c r="N428" s="1" t="s">
        <v>83</v>
      </c>
      <c r="O428" s="4" t="s">
        <v>180</v>
      </c>
      <c r="P428" s="4" t="s">
        <v>371</v>
      </c>
      <c r="V428" s="1"/>
      <c r="Z428"/>
      <c r="AA428"/>
    </row>
    <row r="429" spans="14:27" x14ac:dyDescent="0.35">
      <c r="N429" s="1" t="s">
        <v>83</v>
      </c>
      <c r="O429" s="4" t="s">
        <v>180</v>
      </c>
      <c r="P429" s="4" t="s">
        <v>374</v>
      </c>
      <c r="V429" s="1"/>
      <c r="Z429"/>
      <c r="AA429"/>
    </row>
    <row r="430" spans="14:27" x14ac:dyDescent="0.35">
      <c r="N430" s="1" t="s">
        <v>83</v>
      </c>
      <c r="O430" s="4" t="s">
        <v>180</v>
      </c>
      <c r="P430" s="4" t="s">
        <v>377</v>
      </c>
      <c r="V430" s="1"/>
      <c r="Z430"/>
      <c r="AA430"/>
    </row>
    <row r="431" spans="14:27" x14ac:dyDescent="0.35">
      <c r="N431" s="1" t="s">
        <v>83</v>
      </c>
      <c r="O431" s="4" t="s">
        <v>180</v>
      </c>
      <c r="P431" s="4" t="s">
        <v>380</v>
      </c>
      <c r="V431" s="1"/>
      <c r="Z431"/>
      <c r="AA431"/>
    </row>
    <row r="432" spans="14:27" x14ac:dyDescent="0.35">
      <c r="N432" s="1" t="s">
        <v>83</v>
      </c>
      <c r="O432" s="4" t="s">
        <v>186</v>
      </c>
      <c r="P432" s="4" t="s">
        <v>383</v>
      </c>
      <c r="V432" s="1"/>
      <c r="Z432"/>
      <c r="AA432"/>
    </row>
    <row r="433" spans="14:27" x14ac:dyDescent="0.35">
      <c r="N433" s="1" t="s">
        <v>83</v>
      </c>
      <c r="O433" s="4" t="s">
        <v>186</v>
      </c>
      <c r="P433" s="4" t="s">
        <v>386</v>
      </c>
      <c r="V433" s="1"/>
      <c r="Z433"/>
      <c r="AA433"/>
    </row>
    <row r="434" spans="14:27" x14ac:dyDescent="0.35">
      <c r="N434" s="1" t="s">
        <v>83</v>
      </c>
      <c r="O434" s="4" t="s">
        <v>186</v>
      </c>
      <c r="P434" s="4" t="s">
        <v>389</v>
      </c>
      <c r="V434" s="1"/>
      <c r="Z434"/>
      <c r="AA434"/>
    </row>
    <row r="435" spans="14:27" x14ac:dyDescent="0.35">
      <c r="N435" s="1" t="s">
        <v>83</v>
      </c>
      <c r="O435" s="4" t="s">
        <v>186</v>
      </c>
      <c r="P435" s="4" t="s">
        <v>392</v>
      </c>
      <c r="V435" s="1"/>
      <c r="Z435"/>
      <c r="AA435"/>
    </row>
    <row r="436" spans="14:27" x14ac:dyDescent="0.35">
      <c r="N436" s="1" t="s">
        <v>83</v>
      </c>
      <c r="O436" s="4" t="s">
        <v>186</v>
      </c>
      <c r="P436" s="4" t="s">
        <v>395</v>
      </c>
      <c r="V436" s="1"/>
      <c r="Z436"/>
      <c r="AA436"/>
    </row>
    <row r="437" spans="14:27" x14ac:dyDescent="0.35">
      <c r="N437" s="1" t="s">
        <v>83</v>
      </c>
      <c r="O437" s="4" t="s">
        <v>186</v>
      </c>
      <c r="P437" s="4" t="s">
        <v>398</v>
      </c>
      <c r="V437" s="1"/>
      <c r="Z437"/>
      <c r="AA437"/>
    </row>
    <row r="438" spans="14:27" x14ac:dyDescent="0.35">
      <c r="N438" s="1" t="s">
        <v>83</v>
      </c>
      <c r="O438" s="4" t="s">
        <v>186</v>
      </c>
      <c r="P438" s="4" t="s">
        <v>401</v>
      </c>
      <c r="V438" s="1"/>
      <c r="Z438"/>
      <c r="AA438"/>
    </row>
    <row r="439" spans="14:27" x14ac:dyDescent="0.35">
      <c r="N439" s="1" t="s">
        <v>83</v>
      </c>
      <c r="O439" s="4" t="s">
        <v>186</v>
      </c>
      <c r="P439" s="4" t="s">
        <v>404</v>
      </c>
      <c r="V439" s="1"/>
      <c r="Z439"/>
      <c r="AA439"/>
    </row>
    <row r="440" spans="14:27" x14ac:dyDescent="0.35">
      <c r="N440" s="1" t="s">
        <v>83</v>
      </c>
      <c r="O440" s="4" t="s">
        <v>186</v>
      </c>
      <c r="P440" s="4" t="s">
        <v>407</v>
      </c>
      <c r="V440" s="1"/>
      <c r="Z440"/>
      <c r="AA440"/>
    </row>
    <row r="441" spans="14:27" x14ac:dyDescent="0.35">
      <c r="N441" s="1" t="s">
        <v>83</v>
      </c>
      <c r="O441" s="4" t="s">
        <v>186</v>
      </c>
      <c r="P441" s="4" t="s">
        <v>410</v>
      </c>
      <c r="V441" s="1"/>
      <c r="Z441"/>
      <c r="AA441"/>
    </row>
    <row r="442" spans="14:27" x14ac:dyDescent="0.35">
      <c r="N442" s="1" t="s">
        <v>83</v>
      </c>
      <c r="O442" s="4" t="s">
        <v>186</v>
      </c>
      <c r="P442" s="4" t="s">
        <v>413</v>
      </c>
      <c r="V442" s="1"/>
      <c r="Z442"/>
      <c r="AA442"/>
    </row>
    <row r="443" spans="14:27" x14ac:dyDescent="0.35">
      <c r="N443" s="1" t="s">
        <v>83</v>
      </c>
      <c r="O443" s="4" t="s">
        <v>189</v>
      </c>
      <c r="P443" s="4" t="s">
        <v>416</v>
      </c>
      <c r="V443" s="1"/>
      <c r="Z443"/>
      <c r="AA443"/>
    </row>
    <row r="444" spans="14:27" x14ac:dyDescent="0.35">
      <c r="N444" s="1" t="s">
        <v>83</v>
      </c>
      <c r="O444" s="4" t="s">
        <v>189</v>
      </c>
      <c r="P444" s="4" t="s">
        <v>419</v>
      </c>
      <c r="V444" s="1"/>
      <c r="Z444"/>
      <c r="AA444"/>
    </row>
    <row r="445" spans="14:27" x14ac:dyDescent="0.35">
      <c r="N445" s="1" t="s">
        <v>83</v>
      </c>
      <c r="O445" s="4" t="s">
        <v>189</v>
      </c>
      <c r="P445" s="4" t="s">
        <v>422</v>
      </c>
      <c r="V445" s="1"/>
      <c r="Z445"/>
      <c r="AA445"/>
    </row>
    <row r="446" spans="14:27" x14ac:dyDescent="0.35">
      <c r="N446" s="1" t="s">
        <v>83</v>
      </c>
      <c r="O446" s="4" t="s">
        <v>189</v>
      </c>
      <c r="P446" s="4" t="s">
        <v>425</v>
      </c>
      <c r="V446" s="1"/>
      <c r="Z446"/>
      <c r="AA446"/>
    </row>
    <row r="447" spans="14:27" x14ac:dyDescent="0.35">
      <c r="N447" s="1" t="s">
        <v>83</v>
      </c>
      <c r="O447" s="4" t="s">
        <v>189</v>
      </c>
      <c r="P447" s="4" t="s">
        <v>428</v>
      </c>
      <c r="V447" s="1"/>
      <c r="Z447"/>
      <c r="AA447"/>
    </row>
    <row r="448" spans="14:27" x14ac:dyDescent="0.35">
      <c r="N448" s="1" t="s">
        <v>83</v>
      </c>
      <c r="O448" s="4" t="s">
        <v>189</v>
      </c>
      <c r="P448" s="4" t="s">
        <v>431</v>
      </c>
      <c r="V448" s="1"/>
      <c r="Z448"/>
      <c r="AA448"/>
    </row>
    <row r="449" spans="14:27" x14ac:dyDescent="0.35">
      <c r="N449" s="1" t="s">
        <v>83</v>
      </c>
      <c r="O449" s="4" t="s">
        <v>189</v>
      </c>
      <c r="P449" s="4" t="s">
        <v>434</v>
      </c>
      <c r="V449" s="1"/>
      <c r="Z449"/>
      <c r="AA449"/>
    </row>
    <row r="450" spans="14:27" x14ac:dyDescent="0.35">
      <c r="N450" s="1" t="s">
        <v>83</v>
      </c>
      <c r="O450" s="4" t="s">
        <v>189</v>
      </c>
      <c r="P450" s="4" t="s">
        <v>437</v>
      </c>
      <c r="V450" s="1"/>
      <c r="Z450"/>
      <c r="AA450"/>
    </row>
    <row r="451" spans="14:27" x14ac:dyDescent="0.35">
      <c r="N451" s="1" t="s">
        <v>83</v>
      </c>
      <c r="O451" s="4" t="s">
        <v>189</v>
      </c>
      <c r="P451" s="4" t="s">
        <v>440</v>
      </c>
      <c r="V451" s="1"/>
      <c r="Z451"/>
      <c r="AA451"/>
    </row>
    <row r="452" spans="14:27" x14ac:dyDescent="0.35">
      <c r="N452" s="1" t="s">
        <v>83</v>
      </c>
      <c r="O452" s="4" t="s">
        <v>189</v>
      </c>
      <c r="P452" s="4" t="s">
        <v>443</v>
      </c>
      <c r="V452" s="1"/>
      <c r="Z452"/>
      <c r="AA452"/>
    </row>
    <row r="453" spans="14:27" x14ac:dyDescent="0.35">
      <c r="N453" s="1" t="s">
        <v>83</v>
      </c>
      <c r="O453" s="4" t="s">
        <v>207</v>
      </c>
      <c r="P453" s="4" t="s">
        <v>446</v>
      </c>
      <c r="V453" s="1"/>
      <c r="Z453"/>
      <c r="AA453"/>
    </row>
    <row r="454" spans="14:27" x14ac:dyDescent="0.35">
      <c r="N454" s="1" t="s">
        <v>83</v>
      </c>
      <c r="O454" s="4" t="s">
        <v>207</v>
      </c>
      <c r="P454" s="4" t="s">
        <v>449</v>
      </c>
      <c r="V454" s="1"/>
      <c r="Z454"/>
      <c r="AA454"/>
    </row>
    <row r="455" spans="14:27" x14ac:dyDescent="0.35">
      <c r="N455" s="1" t="s">
        <v>83</v>
      </c>
      <c r="O455" s="4" t="s">
        <v>207</v>
      </c>
      <c r="P455" s="4" t="s">
        <v>452</v>
      </c>
      <c r="V455" s="1"/>
      <c r="Z455"/>
      <c r="AA455"/>
    </row>
    <row r="456" spans="14:27" x14ac:dyDescent="0.35">
      <c r="N456" s="1" t="s">
        <v>83</v>
      </c>
      <c r="O456" s="4" t="s">
        <v>207</v>
      </c>
      <c r="P456" s="4" t="s">
        <v>455</v>
      </c>
      <c r="V456" s="1"/>
      <c r="Z456"/>
      <c r="AA456"/>
    </row>
    <row r="457" spans="14:27" x14ac:dyDescent="0.35">
      <c r="N457" s="1" t="s">
        <v>83</v>
      </c>
      <c r="O457" s="4" t="s">
        <v>207</v>
      </c>
      <c r="P457" s="4" t="s">
        <v>458</v>
      </c>
      <c r="V457" s="1"/>
      <c r="Z457"/>
      <c r="AA457"/>
    </row>
    <row r="458" spans="14:27" x14ac:dyDescent="0.35">
      <c r="N458" s="1" t="s">
        <v>83</v>
      </c>
      <c r="O458" s="4" t="s">
        <v>199</v>
      </c>
      <c r="P458" s="4" t="s">
        <v>461</v>
      </c>
      <c r="V458" s="1"/>
      <c r="Z458"/>
      <c r="AA458"/>
    </row>
    <row r="459" spans="14:27" x14ac:dyDescent="0.35">
      <c r="N459" s="1" t="s">
        <v>83</v>
      </c>
      <c r="O459" s="4" t="s">
        <v>199</v>
      </c>
      <c r="P459" s="4" t="s">
        <v>464</v>
      </c>
      <c r="V459" s="1"/>
      <c r="Z459"/>
      <c r="AA459"/>
    </row>
    <row r="460" spans="14:27" x14ac:dyDescent="0.35">
      <c r="N460" s="1" t="s">
        <v>83</v>
      </c>
      <c r="O460" s="4" t="s">
        <v>199</v>
      </c>
      <c r="P460" s="4" t="s">
        <v>467</v>
      </c>
      <c r="V460" s="1"/>
      <c r="Z460"/>
      <c r="AA460"/>
    </row>
    <row r="461" spans="14:27" x14ac:dyDescent="0.35">
      <c r="N461" s="1" t="s">
        <v>83</v>
      </c>
      <c r="O461" s="4" t="s">
        <v>199</v>
      </c>
      <c r="P461" s="4" t="s">
        <v>470</v>
      </c>
      <c r="V461" s="1"/>
      <c r="Z461"/>
      <c r="AA461"/>
    </row>
    <row r="462" spans="14:27" x14ac:dyDescent="0.35">
      <c r="N462" s="1" t="s">
        <v>83</v>
      </c>
      <c r="O462" s="4" t="s">
        <v>199</v>
      </c>
      <c r="P462" s="4" t="s">
        <v>473</v>
      </c>
      <c r="V462" s="1"/>
      <c r="Z462"/>
      <c r="AA462"/>
    </row>
    <row r="463" spans="14:27" x14ac:dyDescent="0.35">
      <c r="N463" s="1" t="s">
        <v>83</v>
      </c>
      <c r="O463" s="4" t="s">
        <v>199</v>
      </c>
      <c r="P463" s="4" t="s">
        <v>476</v>
      </c>
      <c r="V463" s="1"/>
      <c r="Z463"/>
      <c r="AA463"/>
    </row>
    <row r="464" spans="14:27" x14ac:dyDescent="0.35">
      <c r="N464" s="1" t="s">
        <v>83</v>
      </c>
      <c r="O464" s="4" t="s">
        <v>199</v>
      </c>
      <c r="P464" s="4" t="s">
        <v>479</v>
      </c>
      <c r="V464" s="1"/>
      <c r="Z464"/>
      <c r="AA464"/>
    </row>
    <row r="465" spans="14:27" x14ac:dyDescent="0.35">
      <c r="N465" s="1" t="s">
        <v>83</v>
      </c>
      <c r="O465" s="4" t="s">
        <v>199</v>
      </c>
      <c r="P465" s="4" t="s">
        <v>482</v>
      </c>
      <c r="V465" s="1"/>
      <c r="Z465"/>
      <c r="AA465"/>
    </row>
    <row r="466" spans="14:27" x14ac:dyDescent="0.35">
      <c r="N466" s="1" t="s">
        <v>83</v>
      </c>
      <c r="O466" s="4" t="s">
        <v>199</v>
      </c>
      <c r="P466" s="4" t="s">
        <v>485</v>
      </c>
      <c r="V466" s="1"/>
      <c r="Z466"/>
      <c r="AA466"/>
    </row>
    <row r="467" spans="14:27" x14ac:dyDescent="0.35">
      <c r="N467" s="1" t="s">
        <v>83</v>
      </c>
      <c r="O467" s="4" t="s">
        <v>199</v>
      </c>
      <c r="P467" s="4" t="s">
        <v>488</v>
      </c>
      <c r="V467" s="1"/>
      <c r="Z467"/>
      <c r="AA467"/>
    </row>
    <row r="468" spans="14:27" x14ac:dyDescent="0.35">
      <c r="N468" s="1" t="s">
        <v>83</v>
      </c>
      <c r="O468" s="4" t="s">
        <v>199</v>
      </c>
      <c r="P468" s="4" t="s">
        <v>491</v>
      </c>
      <c r="V468" s="1"/>
      <c r="Z468"/>
      <c r="AA468"/>
    </row>
    <row r="469" spans="14:27" x14ac:dyDescent="0.35">
      <c r="N469" s="1" t="s">
        <v>83</v>
      </c>
      <c r="O469" s="4" t="s">
        <v>196</v>
      </c>
      <c r="P469" s="4" t="s">
        <v>494</v>
      </c>
      <c r="V469" s="1"/>
      <c r="Z469"/>
      <c r="AA469"/>
    </row>
    <row r="470" spans="14:27" x14ac:dyDescent="0.35">
      <c r="N470" s="1" t="s">
        <v>83</v>
      </c>
      <c r="O470" s="4" t="s">
        <v>196</v>
      </c>
      <c r="P470" s="4" t="s">
        <v>497</v>
      </c>
      <c r="V470" s="1"/>
      <c r="Z470"/>
      <c r="AA470"/>
    </row>
    <row r="471" spans="14:27" x14ac:dyDescent="0.35">
      <c r="N471" s="1" t="s">
        <v>83</v>
      </c>
      <c r="O471" s="4" t="s">
        <v>196</v>
      </c>
      <c r="P471" s="4" t="s">
        <v>500</v>
      </c>
      <c r="V471" s="1"/>
      <c r="Z471"/>
      <c r="AA471"/>
    </row>
    <row r="472" spans="14:27" x14ac:dyDescent="0.35">
      <c r="N472" s="1" t="s">
        <v>83</v>
      </c>
      <c r="O472" s="4" t="s">
        <v>196</v>
      </c>
      <c r="P472" s="4" t="s">
        <v>503</v>
      </c>
      <c r="V472" s="1"/>
      <c r="Z472"/>
      <c r="AA472"/>
    </row>
    <row r="473" spans="14:27" x14ac:dyDescent="0.35">
      <c r="N473" s="1" t="s">
        <v>83</v>
      </c>
      <c r="O473" s="4" t="s">
        <v>196</v>
      </c>
      <c r="P473" s="4" t="s">
        <v>506</v>
      </c>
      <c r="V473" s="1"/>
      <c r="Z473"/>
      <c r="AA473"/>
    </row>
    <row r="474" spans="14:27" x14ac:dyDescent="0.35">
      <c r="N474" s="1" t="s">
        <v>83</v>
      </c>
      <c r="O474" s="4" t="s">
        <v>192</v>
      </c>
      <c r="P474" s="4" t="s">
        <v>509</v>
      </c>
      <c r="V474" s="1"/>
      <c r="Z474"/>
      <c r="AA474"/>
    </row>
    <row r="475" spans="14:27" x14ac:dyDescent="0.35">
      <c r="N475" s="1" t="s">
        <v>83</v>
      </c>
      <c r="O475" s="4" t="s">
        <v>217</v>
      </c>
      <c r="P475" s="4" t="s">
        <v>512</v>
      </c>
      <c r="V475" s="1"/>
      <c r="Z475"/>
      <c r="AA475"/>
    </row>
    <row r="476" spans="14:27" x14ac:dyDescent="0.35">
      <c r="N476" s="1" t="s">
        <v>83</v>
      </c>
      <c r="O476" s="4" t="s">
        <v>217</v>
      </c>
      <c r="P476" s="4" t="s">
        <v>515</v>
      </c>
      <c r="V476" s="1"/>
      <c r="Z476"/>
      <c r="AA476"/>
    </row>
    <row r="477" spans="14:27" x14ac:dyDescent="0.35">
      <c r="N477" s="1" t="s">
        <v>83</v>
      </c>
      <c r="O477" s="4" t="s">
        <v>217</v>
      </c>
      <c r="P477" s="4" t="s">
        <v>518</v>
      </c>
      <c r="V477" s="1"/>
      <c r="Z477"/>
      <c r="AA477"/>
    </row>
    <row r="478" spans="14:27" x14ac:dyDescent="0.35">
      <c r="N478" s="1" t="s">
        <v>83</v>
      </c>
      <c r="O478" s="4" t="s">
        <v>217</v>
      </c>
      <c r="P478" s="4" t="s">
        <v>521</v>
      </c>
      <c r="V478" s="1"/>
      <c r="Z478"/>
      <c r="AA478"/>
    </row>
    <row r="479" spans="14:27" x14ac:dyDescent="0.35">
      <c r="N479" s="1" t="s">
        <v>83</v>
      </c>
      <c r="O479" s="4" t="s">
        <v>217</v>
      </c>
      <c r="P479" s="4" t="s">
        <v>524</v>
      </c>
      <c r="V479" s="1"/>
      <c r="Z479"/>
      <c r="AA479"/>
    </row>
    <row r="480" spans="14:27" x14ac:dyDescent="0.35">
      <c r="N480" s="1" t="s">
        <v>83</v>
      </c>
      <c r="O480" s="4" t="s">
        <v>217</v>
      </c>
      <c r="P480" s="4" t="s">
        <v>527</v>
      </c>
      <c r="V480" s="1"/>
      <c r="Z480"/>
      <c r="AA480"/>
    </row>
    <row r="481" spans="14:27" x14ac:dyDescent="0.35">
      <c r="N481" s="1" t="s">
        <v>83</v>
      </c>
      <c r="O481" s="4" t="s">
        <v>217</v>
      </c>
      <c r="P481" s="4" t="s">
        <v>530</v>
      </c>
      <c r="V481" s="1"/>
      <c r="Z481"/>
      <c r="AA481"/>
    </row>
    <row r="482" spans="14:27" x14ac:dyDescent="0.35">
      <c r="N482" s="1" t="s">
        <v>83</v>
      </c>
      <c r="O482" s="4" t="s">
        <v>217</v>
      </c>
      <c r="P482" s="4" t="s">
        <v>533</v>
      </c>
      <c r="V482" s="1"/>
      <c r="Z482"/>
      <c r="AA482"/>
    </row>
    <row r="483" spans="14:27" x14ac:dyDescent="0.35">
      <c r="N483" s="1" t="s">
        <v>83</v>
      </c>
      <c r="O483" s="4" t="s">
        <v>137</v>
      </c>
      <c r="P483" s="4" t="s">
        <v>536</v>
      </c>
      <c r="V483" s="1"/>
      <c r="Z483"/>
      <c r="AA483"/>
    </row>
    <row r="484" spans="14:27" x14ac:dyDescent="0.35">
      <c r="N484" s="1" t="s">
        <v>83</v>
      </c>
      <c r="O484" s="4" t="s">
        <v>137</v>
      </c>
      <c r="P484" s="4" t="s">
        <v>539</v>
      </c>
      <c r="V484" s="1"/>
      <c r="Z484"/>
      <c r="AA484"/>
    </row>
    <row r="485" spans="14:27" x14ac:dyDescent="0.35">
      <c r="N485" s="1" t="s">
        <v>83</v>
      </c>
      <c r="O485" s="4" t="s">
        <v>137</v>
      </c>
      <c r="P485" s="4" t="s">
        <v>542</v>
      </c>
      <c r="V485" s="1"/>
      <c r="Z485"/>
      <c r="AA485"/>
    </row>
    <row r="486" spans="14:27" x14ac:dyDescent="0.35">
      <c r="N486" s="1" t="s">
        <v>83</v>
      </c>
      <c r="O486" s="4" t="s">
        <v>137</v>
      </c>
      <c r="P486" s="4" t="s">
        <v>545</v>
      </c>
      <c r="V486" s="1"/>
      <c r="Z486"/>
      <c r="AA486"/>
    </row>
    <row r="487" spans="14:27" x14ac:dyDescent="0.35">
      <c r="N487" s="1" t="s">
        <v>83</v>
      </c>
      <c r="O487" s="4" t="s">
        <v>137</v>
      </c>
      <c r="P487" s="4" t="s">
        <v>548</v>
      </c>
      <c r="V487" s="1"/>
      <c r="Z487"/>
      <c r="AA487"/>
    </row>
    <row r="488" spans="14:27" x14ac:dyDescent="0.35">
      <c r="N488" s="1" t="s">
        <v>83</v>
      </c>
      <c r="O488" s="4" t="s">
        <v>137</v>
      </c>
      <c r="P488" s="4" t="s">
        <v>551</v>
      </c>
      <c r="V488" s="1"/>
      <c r="Z488"/>
      <c r="AA488"/>
    </row>
    <row r="489" spans="14:27" x14ac:dyDescent="0.35">
      <c r="N489" s="1" t="s">
        <v>83</v>
      </c>
      <c r="O489" s="4" t="s">
        <v>137</v>
      </c>
      <c r="P489" s="4" t="s">
        <v>554</v>
      </c>
      <c r="V489" s="1"/>
      <c r="Z489"/>
      <c r="AA489"/>
    </row>
    <row r="490" spans="14:27" x14ac:dyDescent="0.35">
      <c r="N490" s="1" t="s">
        <v>83</v>
      </c>
      <c r="O490" s="4" t="s">
        <v>137</v>
      </c>
      <c r="P490" s="4" t="s">
        <v>557</v>
      </c>
      <c r="V490" s="1"/>
      <c r="Z490"/>
      <c r="AA490"/>
    </row>
    <row r="491" spans="14:27" x14ac:dyDescent="0.35">
      <c r="N491" s="1" t="s">
        <v>83</v>
      </c>
      <c r="O491" s="4" t="s">
        <v>213</v>
      </c>
      <c r="P491" s="4" t="s">
        <v>560</v>
      </c>
      <c r="V491" s="1"/>
      <c r="Z491"/>
      <c r="AA491"/>
    </row>
    <row r="492" spans="14:27" x14ac:dyDescent="0.35">
      <c r="N492" s="1" t="s">
        <v>83</v>
      </c>
      <c r="O492" s="4" t="s">
        <v>213</v>
      </c>
      <c r="P492" s="4" t="s">
        <v>563</v>
      </c>
      <c r="V492" s="1"/>
      <c r="Z492"/>
      <c r="AA492"/>
    </row>
    <row r="493" spans="14:27" x14ac:dyDescent="0.35">
      <c r="N493" s="1" t="s">
        <v>83</v>
      </c>
      <c r="O493" s="4" t="s">
        <v>213</v>
      </c>
      <c r="P493" s="4" t="s">
        <v>566</v>
      </c>
      <c r="V493" s="1"/>
      <c r="Z493"/>
      <c r="AA493"/>
    </row>
    <row r="494" spans="14:27" x14ac:dyDescent="0.35">
      <c r="N494" s="1" t="s">
        <v>83</v>
      </c>
      <c r="O494" s="4" t="s">
        <v>213</v>
      </c>
      <c r="P494" s="4" t="s">
        <v>569</v>
      </c>
      <c r="V494" s="1"/>
      <c r="Z494"/>
      <c r="AA494"/>
    </row>
    <row r="495" spans="14:27" x14ac:dyDescent="0.35">
      <c r="N495" s="1" t="s">
        <v>83</v>
      </c>
      <c r="O495" s="4" t="s">
        <v>213</v>
      </c>
      <c r="P495" s="4" t="s">
        <v>572</v>
      </c>
      <c r="V495" s="1"/>
      <c r="Z495"/>
      <c r="AA495"/>
    </row>
    <row r="496" spans="14:27" x14ac:dyDescent="0.35">
      <c r="N496" s="1" t="s">
        <v>83</v>
      </c>
      <c r="O496" s="4" t="s">
        <v>213</v>
      </c>
      <c r="P496" s="4" t="s">
        <v>575</v>
      </c>
      <c r="V496" s="1"/>
      <c r="Z496"/>
      <c r="AA496"/>
    </row>
    <row r="497" spans="14:27" x14ac:dyDescent="0.35">
      <c r="N497" s="1" t="s">
        <v>83</v>
      </c>
      <c r="O497" s="4" t="s">
        <v>213</v>
      </c>
      <c r="P497" s="4" t="s">
        <v>578</v>
      </c>
      <c r="V497" s="1"/>
      <c r="Z497"/>
      <c r="AA497"/>
    </row>
    <row r="498" spans="14:27" x14ac:dyDescent="0.35">
      <c r="N498" s="1" t="s">
        <v>83</v>
      </c>
      <c r="O498" s="4" t="s">
        <v>213</v>
      </c>
      <c r="P498" s="4" t="s">
        <v>581</v>
      </c>
      <c r="V498" s="1"/>
      <c r="Z498"/>
      <c r="AA498"/>
    </row>
    <row r="499" spans="14:27" x14ac:dyDescent="0.35">
      <c r="N499" s="1" t="s">
        <v>83</v>
      </c>
      <c r="O499" s="4" t="s">
        <v>210</v>
      </c>
      <c r="P499" s="4" t="s">
        <v>584</v>
      </c>
      <c r="V499" s="1"/>
      <c r="Z499"/>
      <c r="AA499"/>
    </row>
    <row r="500" spans="14:27" x14ac:dyDescent="0.35">
      <c r="N500" s="1" t="s">
        <v>83</v>
      </c>
      <c r="O500" s="4" t="s">
        <v>210</v>
      </c>
      <c r="P500" s="4" t="s">
        <v>587</v>
      </c>
      <c r="V500" s="1"/>
      <c r="Z500"/>
      <c r="AA500"/>
    </row>
    <row r="501" spans="14:27" x14ac:dyDescent="0.35">
      <c r="N501" s="1" t="s">
        <v>83</v>
      </c>
      <c r="O501" s="4" t="s">
        <v>210</v>
      </c>
      <c r="P501" s="4" t="s">
        <v>590</v>
      </c>
      <c r="V501" s="1"/>
      <c r="Z501"/>
      <c r="AA501"/>
    </row>
    <row r="502" spans="14:27" x14ac:dyDescent="0.35">
      <c r="N502" s="1" t="s">
        <v>83</v>
      </c>
      <c r="O502" s="4" t="s">
        <v>247</v>
      </c>
      <c r="P502" s="4" t="s">
        <v>593</v>
      </c>
      <c r="V502" s="1"/>
      <c r="Z502"/>
      <c r="AA502"/>
    </row>
    <row r="503" spans="14:27" x14ac:dyDescent="0.35">
      <c r="N503" s="1" t="s">
        <v>83</v>
      </c>
      <c r="O503" s="4" t="s">
        <v>247</v>
      </c>
      <c r="P503" s="4" t="s">
        <v>596</v>
      </c>
      <c r="V503" s="1"/>
      <c r="Z503"/>
      <c r="AA503"/>
    </row>
    <row r="504" spans="14:27" x14ac:dyDescent="0.35">
      <c r="N504" s="1" t="s">
        <v>83</v>
      </c>
      <c r="O504" s="4" t="s">
        <v>247</v>
      </c>
      <c r="P504" s="4" t="s">
        <v>599</v>
      </c>
      <c r="V504" s="1"/>
      <c r="Z504"/>
      <c r="AA504"/>
    </row>
    <row r="505" spans="14:27" x14ac:dyDescent="0.35">
      <c r="N505" s="1" t="s">
        <v>83</v>
      </c>
      <c r="O505" s="4" t="s">
        <v>247</v>
      </c>
      <c r="P505" s="4" t="s">
        <v>602</v>
      </c>
      <c r="V505" s="1"/>
      <c r="Z505"/>
      <c r="AA505"/>
    </row>
    <row r="506" spans="14:27" x14ac:dyDescent="0.35">
      <c r="N506" s="1" t="s">
        <v>83</v>
      </c>
      <c r="O506" s="4" t="s">
        <v>247</v>
      </c>
      <c r="P506" s="4" t="s">
        <v>605</v>
      </c>
      <c r="V506" s="1"/>
      <c r="Z506"/>
      <c r="AA506"/>
    </row>
    <row r="507" spans="14:27" x14ac:dyDescent="0.35">
      <c r="N507" s="1" t="s">
        <v>83</v>
      </c>
      <c r="O507" s="4" t="s">
        <v>247</v>
      </c>
      <c r="P507" s="4" t="s">
        <v>608</v>
      </c>
      <c r="V507" s="1"/>
      <c r="Z507"/>
      <c r="AA507"/>
    </row>
    <row r="508" spans="14:27" x14ac:dyDescent="0.35">
      <c r="N508" s="1" t="s">
        <v>83</v>
      </c>
      <c r="O508" s="4" t="s">
        <v>247</v>
      </c>
      <c r="P508" s="4" t="s">
        <v>611</v>
      </c>
      <c r="V508" s="1"/>
      <c r="Z508"/>
      <c r="AA508"/>
    </row>
    <row r="509" spans="14:27" x14ac:dyDescent="0.35">
      <c r="N509" s="1" t="s">
        <v>83</v>
      </c>
      <c r="O509" s="4" t="s">
        <v>247</v>
      </c>
      <c r="P509" s="4" t="s">
        <v>614</v>
      </c>
      <c r="V509" s="1"/>
      <c r="Z509"/>
      <c r="AA509"/>
    </row>
    <row r="510" spans="14:27" x14ac:dyDescent="0.35">
      <c r="N510" s="1" t="s">
        <v>83</v>
      </c>
      <c r="O510" s="4" t="s">
        <v>247</v>
      </c>
      <c r="P510" s="4" t="s">
        <v>617</v>
      </c>
      <c r="V510" s="1"/>
      <c r="Z510"/>
      <c r="AA510"/>
    </row>
    <row r="511" spans="14:27" x14ac:dyDescent="0.35">
      <c r="N511" s="1" t="s">
        <v>83</v>
      </c>
      <c r="O511" s="4" t="s">
        <v>247</v>
      </c>
      <c r="P511" s="4" t="s">
        <v>620</v>
      </c>
      <c r="V511" s="1"/>
      <c r="Z511"/>
      <c r="AA511"/>
    </row>
    <row r="512" spans="14:27" x14ac:dyDescent="0.35">
      <c r="N512" s="1" t="s">
        <v>83</v>
      </c>
      <c r="O512" s="4" t="s">
        <v>244</v>
      </c>
      <c r="P512" s="4" t="s">
        <v>623</v>
      </c>
      <c r="V512" s="1"/>
      <c r="Z512"/>
      <c r="AA512"/>
    </row>
    <row r="513" spans="14:27" x14ac:dyDescent="0.35">
      <c r="N513" s="1" t="s">
        <v>83</v>
      </c>
      <c r="O513" s="4" t="s">
        <v>244</v>
      </c>
      <c r="P513" s="4" t="s">
        <v>626</v>
      </c>
      <c r="V513" s="1"/>
      <c r="Z513"/>
      <c r="AA513"/>
    </row>
    <row r="514" spans="14:27" x14ac:dyDescent="0.35">
      <c r="N514" s="1" t="s">
        <v>83</v>
      </c>
      <c r="O514" s="4" t="s">
        <v>244</v>
      </c>
      <c r="P514" s="4" t="s">
        <v>629</v>
      </c>
      <c r="V514" s="1"/>
      <c r="Z514"/>
      <c r="AA514"/>
    </row>
    <row r="515" spans="14:27" x14ac:dyDescent="0.35">
      <c r="N515" s="1" t="s">
        <v>83</v>
      </c>
      <c r="O515" s="4" t="s">
        <v>244</v>
      </c>
      <c r="P515" s="4" t="s">
        <v>632</v>
      </c>
      <c r="V515" s="1"/>
      <c r="Z515"/>
      <c r="AA515"/>
    </row>
    <row r="516" spans="14:27" x14ac:dyDescent="0.35">
      <c r="N516" s="1" t="s">
        <v>83</v>
      </c>
      <c r="O516" s="4" t="s">
        <v>244</v>
      </c>
      <c r="P516" s="4" t="s">
        <v>635</v>
      </c>
      <c r="V516" s="1"/>
      <c r="Z516"/>
      <c r="AA516"/>
    </row>
    <row r="517" spans="14:27" x14ac:dyDescent="0.35">
      <c r="N517" s="1" t="s">
        <v>83</v>
      </c>
      <c r="O517" s="4" t="s">
        <v>244</v>
      </c>
      <c r="P517" s="4" t="s">
        <v>638</v>
      </c>
      <c r="V517" s="1"/>
      <c r="Z517"/>
      <c r="AA517"/>
    </row>
    <row r="518" spans="14:27" x14ac:dyDescent="0.35">
      <c r="N518" s="1" t="s">
        <v>83</v>
      </c>
      <c r="O518" s="4" t="s">
        <v>244</v>
      </c>
      <c r="P518" s="4" t="s">
        <v>641</v>
      </c>
      <c r="V518" s="1"/>
      <c r="Z518"/>
      <c r="AA518"/>
    </row>
    <row r="519" spans="14:27" x14ac:dyDescent="0.35">
      <c r="N519" s="1" t="s">
        <v>83</v>
      </c>
      <c r="O519" s="4" t="s">
        <v>244</v>
      </c>
      <c r="P519" s="4" t="s">
        <v>644</v>
      </c>
      <c r="V519" s="1"/>
      <c r="Z519"/>
      <c r="AA519"/>
    </row>
    <row r="520" spans="14:27" x14ac:dyDescent="0.35">
      <c r="N520" s="1" t="s">
        <v>83</v>
      </c>
      <c r="O520" s="4" t="s">
        <v>244</v>
      </c>
      <c r="P520" s="4" t="s">
        <v>647</v>
      </c>
      <c r="V520" s="1"/>
      <c r="Z520"/>
      <c r="AA520"/>
    </row>
    <row r="521" spans="14:27" x14ac:dyDescent="0.35">
      <c r="N521" s="1" t="s">
        <v>83</v>
      </c>
      <c r="O521" s="4" t="s">
        <v>244</v>
      </c>
      <c r="P521" s="4" t="s">
        <v>650</v>
      </c>
      <c r="V521" s="1"/>
      <c r="Z521"/>
      <c r="AA521"/>
    </row>
    <row r="522" spans="14:27" x14ac:dyDescent="0.35">
      <c r="N522" s="1" t="s">
        <v>83</v>
      </c>
      <c r="O522" s="4" t="s">
        <v>256</v>
      </c>
      <c r="P522" s="4" t="s">
        <v>653</v>
      </c>
      <c r="V522" s="1"/>
      <c r="Z522"/>
      <c r="AA522"/>
    </row>
    <row r="523" spans="14:27" x14ac:dyDescent="0.35">
      <c r="N523" s="1" t="s">
        <v>83</v>
      </c>
      <c r="O523" s="4" t="s">
        <v>256</v>
      </c>
      <c r="P523" s="4" t="s">
        <v>655</v>
      </c>
      <c r="V523" s="1"/>
      <c r="Z523"/>
      <c r="AA523"/>
    </row>
    <row r="524" spans="14:27" x14ac:dyDescent="0.35">
      <c r="N524" s="1" t="s">
        <v>83</v>
      </c>
      <c r="O524" s="4" t="s">
        <v>256</v>
      </c>
      <c r="P524" s="4" t="s">
        <v>657</v>
      </c>
      <c r="V524" s="1"/>
      <c r="Z524"/>
      <c r="AA524"/>
    </row>
    <row r="525" spans="14:27" x14ac:dyDescent="0.35">
      <c r="N525" s="1" t="s">
        <v>83</v>
      </c>
      <c r="O525" s="4" t="s">
        <v>256</v>
      </c>
      <c r="P525" s="4" t="s">
        <v>659</v>
      </c>
      <c r="V525" s="1"/>
      <c r="Z525"/>
      <c r="AA525"/>
    </row>
    <row r="526" spans="14:27" x14ac:dyDescent="0.35">
      <c r="N526" s="1" t="s">
        <v>83</v>
      </c>
      <c r="O526" s="4" t="s">
        <v>256</v>
      </c>
      <c r="P526" s="4" t="s">
        <v>661</v>
      </c>
      <c r="V526" s="1"/>
      <c r="Z526"/>
      <c r="AA526"/>
    </row>
    <row r="527" spans="14:27" x14ac:dyDescent="0.35">
      <c r="N527" s="1" t="s">
        <v>83</v>
      </c>
      <c r="O527" s="4" t="s">
        <v>256</v>
      </c>
      <c r="P527" s="4" t="s">
        <v>663</v>
      </c>
      <c r="V527" s="1"/>
      <c r="Z527"/>
      <c r="AA527"/>
    </row>
    <row r="528" spans="14:27" x14ac:dyDescent="0.35">
      <c r="N528" s="1" t="s">
        <v>83</v>
      </c>
      <c r="O528" s="4" t="s">
        <v>256</v>
      </c>
      <c r="P528" s="4" t="s">
        <v>665</v>
      </c>
      <c r="V528" s="1"/>
      <c r="Z528"/>
      <c r="AA528"/>
    </row>
    <row r="529" spans="14:27" x14ac:dyDescent="0.35">
      <c r="N529" s="1" t="s">
        <v>83</v>
      </c>
      <c r="O529" s="4" t="s">
        <v>250</v>
      </c>
      <c r="P529" s="4" t="s">
        <v>667</v>
      </c>
      <c r="V529" s="1"/>
      <c r="Z529"/>
      <c r="AA529"/>
    </row>
    <row r="530" spans="14:27" x14ac:dyDescent="0.35">
      <c r="N530" s="1" t="s">
        <v>83</v>
      </c>
      <c r="O530" s="4" t="s">
        <v>250</v>
      </c>
      <c r="P530" s="4" t="s">
        <v>669</v>
      </c>
      <c r="V530" s="1"/>
      <c r="Z530"/>
      <c r="AA530"/>
    </row>
    <row r="531" spans="14:27" x14ac:dyDescent="0.35">
      <c r="N531" s="1" t="s">
        <v>83</v>
      </c>
      <c r="O531" s="4" t="s">
        <v>250</v>
      </c>
      <c r="P531" s="4" t="s">
        <v>671</v>
      </c>
      <c r="V531" s="1"/>
      <c r="Z531"/>
      <c r="AA531"/>
    </row>
    <row r="532" spans="14:27" x14ac:dyDescent="0.35">
      <c r="N532" s="1" t="s">
        <v>83</v>
      </c>
      <c r="O532" s="4" t="s">
        <v>250</v>
      </c>
      <c r="P532" s="4" t="s">
        <v>673</v>
      </c>
      <c r="V532" s="1"/>
      <c r="Z532"/>
      <c r="AA532"/>
    </row>
    <row r="533" spans="14:27" x14ac:dyDescent="0.35">
      <c r="N533" s="1" t="s">
        <v>83</v>
      </c>
      <c r="O533" s="4" t="s">
        <v>250</v>
      </c>
      <c r="P533" s="4" t="s">
        <v>675</v>
      </c>
      <c r="V533" s="1"/>
      <c r="Z533"/>
      <c r="AA533"/>
    </row>
    <row r="534" spans="14:27" x14ac:dyDescent="0.35">
      <c r="N534" s="1" t="s">
        <v>83</v>
      </c>
      <c r="O534" s="4" t="s">
        <v>250</v>
      </c>
      <c r="P534" s="4" t="s">
        <v>677</v>
      </c>
      <c r="V534" s="1"/>
      <c r="Z534"/>
      <c r="AA534"/>
    </row>
    <row r="535" spans="14:27" x14ac:dyDescent="0.35">
      <c r="N535" s="1" t="s">
        <v>83</v>
      </c>
      <c r="O535" s="4" t="s">
        <v>250</v>
      </c>
      <c r="P535" s="4" t="s">
        <v>679</v>
      </c>
      <c r="V535" s="1"/>
      <c r="Z535"/>
      <c r="AA535"/>
    </row>
    <row r="536" spans="14:27" x14ac:dyDescent="0.35">
      <c r="N536" s="1" t="s">
        <v>83</v>
      </c>
      <c r="O536" s="4" t="s">
        <v>250</v>
      </c>
      <c r="P536" s="4" t="s">
        <v>681</v>
      </c>
      <c r="V536" s="1"/>
      <c r="Z536"/>
      <c r="AA536"/>
    </row>
    <row r="537" spans="14:27" x14ac:dyDescent="0.35">
      <c r="N537" s="1" t="s">
        <v>83</v>
      </c>
      <c r="O537" s="4" t="s">
        <v>250</v>
      </c>
      <c r="P537" s="4" t="s">
        <v>683</v>
      </c>
      <c r="V537" s="1"/>
      <c r="Z537"/>
      <c r="AA537"/>
    </row>
    <row r="538" spans="14:27" x14ac:dyDescent="0.35">
      <c r="N538" s="1" t="s">
        <v>83</v>
      </c>
      <c r="O538" s="4" t="s">
        <v>250</v>
      </c>
      <c r="P538" s="4" t="s">
        <v>685</v>
      </c>
      <c r="V538" s="1"/>
      <c r="Z538"/>
      <c r="AA538"/>
    </row>
    <row r="539" spans="14:27" x14ac:dyDescent="0.35">
      <c r="N539" s="1" t="s">
        <v>83</v>
      </c>
      <c r="O539" s="4" t="s">
        <v>250</v>
      </c>
      <c r="P539" s="4" t="s">
        <v>687</v>
      </c>
      <c r="V539" s="1"/>
      <c r="Z539"/>
      <c r="AA539"/>
    </row>
    <row r="540" spans="14:27" x14ac:dyDescent="0.35">
      <c r="N540" s="1" t="s">
        <v>83</v>
      </c>
      <c r="O540" s="4" t="s">
        <v>253</v>
      </c>
      <c r="P540" s="4" t="s">
        <v>689</v>
      </c>
      <c r="V540" s="1"/>
      <c r="Z540"/>
      <c r="AA540"/>
    </row>
    <row r="541" spans="14:27" x14ac:dyDescent="0.35">
      <c r="N541" s="1" t="s">
        <v>83</v>
      </c>
      <c r="O541" s="4" t="s">
        <v>253</v>
      </c>
      <c r="P541" s="4" t="s">
        <v>691</v>
      </c>
      <c r="V541" s="1"/>
      <c r="Z541"/>
      <c r="AA541"/>
    </row>
    <row r="542" spans="14:27" x14ac:dyDescent="0.35">
      <c r="N542" s="1" t="s">
        <v>83</v>
      </c>
      <c r="O542" s="4" t="s">
        <v>253</v>
      </c>
      <c r="P542" s="4" t="s">
        <v>693</v>
      </c>
      <c r="V542" s="1"/>
      <c r="Z542"/>
      <c r="AA542"/>
    </row>
    <row r="543" spans="14:27" x14ac:dyDescent="0.35">
      <c r="N543" s="1" t="s">
        <v>83</v>
      </c>
      <c r="O543" s="4" t="s">
        <v>253</v>
      </c>
      <c r="P543" s="4" t="s">
        <v>695</v>
      </c>
      <c r="V543" s="1"/>
      <c r="Z543"/>
      <c r="AA543"/>
    </row>
    <row r="544" spans="14:27" x14ac:dyDescent="0.35">
      <c r="N544" s="1" t="s">
        <v>83</v>
      </c>
      <c r="O544" s="4" t="s">
        <v>253</v>
      </c>
      <c r="P544" s="4" t="s">
        <v>697</v>
      </c>
      <c r="V544" s="1"/>
      <c r="Z544"/>
      <c r="AA544"/>
    </row>
    <row r="545" spans="14:27" x14ac:dyDescent="0.35">
      <c r="N545" s="1" t="s">
        <v>83</v>
      </c>
      <c r="O545" s="4" t="s">
        <v>253</v>
      </c>
      <c r="P545" s="4" t="s">
        <v>699</v>
      </c>
      <c r="V545" s="1"/>
      <c r="Z545"/>
      <c r="AA545"/>
    </row>
    <row r="546" spans="14:27" x14ac:dyDescent="0.35">
      <c r="N546" s="1" t="s">
        <v>83</v>
      </c>
      <c r="O546" s="4" t="s">
        <v>253</v>
      </c>
      <c r="P546" s="4" t="s">
        <v>701</v>
      </c>
      <c r="V546" s="1"/>
      <c r="Z546"/>
      <c r="AA546"/>
    </row>
    <row r="547" spans="14:27" x14ac:dyDescent="0.35">
      <c r="N547" s="1" t="s">
        <v>83</v>
      </c>
      <c r="O547" s="4" t="s">
        <v>220</v>
      </c>
      <c r="P547" s="4" t="s">
        <v>703</v>
      </c>
      <c r="V547" s="1"/>
      <c r="Z547"/>
      <c r="AA547"/>
    </row>
    <row r="548" spans="14:27" x14ac:dyDescent="0.35">
      <c r="N548" s="1" t="s">
        <v>83</v>
      </c>
      <c r="O548" s="4" t="s">
        <v>220</v>
      </c>
      <c r="P548" s="4" t="s">
        <v>705</v>
      </c>
      <c r="V548" s="1"/>
      <c r="Z548"/>
      <c r="AA548"/>
    </row>
    <row r="549" spans="14:27" x14ac:dyDescent="0.35">
      <c r="N549" s="1" t="s">
        <v>83</v>
      </c>
      <c r="O549" s="4" t="s">
        <v>220</v>
      </c>
      <c r="P549" s="4" t="s">
        <v>707</v>
      </c>
      <c r="V549" s="1"/>
      <c r="Z549"/>
      <c r="AA549"/>
    </row>
    <row r="550" spans="14:27" x14ac:dyDescent="0.35">
      <c r="N550" s="1" t="s">
        <v>83</v>
      </c>
      <c r="O550" s="4" t="s">
        <v>220</v>
      </c>
      <c r="P550" s="4" t="s">
        <v>709</v>
      </c>
      <c r="V550" s="1"/>
      <c r="Z550"/>
      <c r="AA550"/>
    </row>
    <row r="551" spans="14:27" x14ac:dyDescent="0.35">
      <c r="N551" s="1" t="s">
        <v>83</v>
      </c>
      <c r="O551" s="4" t="s">
        <v>220</v>
      </c>
      <c r="P551" s="4" t="s">
        <v>711</v>
      </c>
      <c r="V551" s="1"/>
      <c r="Z551"/>
      <c r="AA551"/>
    </row>
    <row r="552" spans="14:27" x14ac:dyDescent="0.35">
      <c r="N552" s="1" t="s">
        <v>83</v>
      </c>
      <c r="O552" s="4" t="s">
        <v>223</v>
      </c>
      <c r="P552" s="4" t="s">
        <v>713</v>
      </c>
      <c r="V552" s="1"/>
      <c r="Z552"/>
      <c r="AA552"/>
    </row>
    <row r="553" spans="14:27" x14ac:dyDescent="0.35">
      <c r="N553" s="1" t="s">
        <v>83</v>
      </c>
      <c r="O553" s="4" t="s">
        <v>223</v>
      </c>
      <c r="P553" s="4" t="s">
        <v>715</v>
      </c>
      <c r="V553" s="1"/>
      <c r="Z553"/>
      <c r="AA553"/>
    </row>
    <row r="554" spans="14:27" x14ac:dyDescent="0.35">
      <c r="N554" s="1" t="s">
        <v>83</v>
      </c>
      <c r="O554" s="4" t="s">
        <v>223</v>
      </c>
      <c r="P554" s="4" t="s">
        <v>717</v>
      </c>
      <c r="V554" s="1"/>
      <c r="Z554"/>
      <c r="AA554"/>
    </row>
    <row r="555" spans="14:27" x14ac:dyDescent="0.35">
      <c r="N555" s="1" t="s">
        <v>83</v>
      </c>
      <c r="O555" s="4" t="s">
        <v>223</v>
      </c>
      <c r="P555" s="4" t="s">
        <v>719</v>
      </c>
      <c r="V555" s="1"/>
      <c r="Z555"/>
      <c r="AA555"/>
    </row>
    <row r="556" spans="14:27" x14ac:dyDescent="0.35">
      <c r="N556" s="1" t="s">
        <v>83</v>
      </c>
      <c r="O556" s="4" t="s">
        <v>223</v>
      </c>
      <c r="P556" s="4" t="s">
        <v>721</v>
      </c>
      <c r="V556" s="1"/>
      <c r="Z556"/>
      <c r="AA556"/>
    </row>
    <row r="557" spans="14:27" x14ac:dyDescent="0.35">
      <c r="N557" s="1" t="s">
        <v>83</v>
      </c>
      <c r="O557" s="4" t="s">
        <v>223</v>
      </c>
      <c r="P557" s="4" t="s">
        <v>723</v>
      </c>
      <c r="V557" s="1"/>
      <c r="Z557"/>
      <c r="AA557"/>
    </row>
    <row r="558" spans="14:27" x14ac:dyDescent="0.35">
      <c r="N558" s="1" t="s">
        <v>83</v>
      </c>
      <c r="O558" s="4" t="s">
        <v>223</v>
      </c>
      <c r="P558" s="4" t="s">
        <v>725</v>
      </c>
      <c r="V558" s="1"/>
      <c r="Z558"/>
      <c r="AA558"/>
    </row>
    <row r="559" spans="14:27" x14ac:dyDescent="0.35">
      <c r="N559" s="1" t="s">
        <v>83</v>
      </c>
      <c r="O559" s="4" t="s">
        <v>226</v>
      </c>
      <c r="P559" s="4" t="s">
        <v>727</v>
      </c>
      <c r="V559" s="1"/>
      <c r="Z559"/>
      <c r="AA559"/>
    </row>
    <row r="560" spans="14:27" x14ac:dyDescent="0.35">
      <c r="N560" s="1" t="s">
        <v>83</v>
      </c>
      <c r="O560" s="4" t="s">
        <v>226</v>
      </c>
      <c r="P560" s="4" t="s">
        <v>729</v>
      </c>
      <c r="V560" s="1"/>
      <c r="Z560"/>
      <c r="AA560"/>
    </row>
    <row r="561" spans="14:27" x14ac:dyDescent="0.35">
      <c r="N561" s="1" t="s">
        <v>83</v>
      </c>
      <c r="O561" s="4" t="s">
        <v>226</v>
      </c>
      <c r="P561" s="4" t="s">
        <v>731</v>
      </c>
      <c r="V561" s="1"/>
      <c r="Z561"/>
      <c r="AA561"/>
    </row>
    <row r="562" spans="14:27" x14ac:dyDescent="0.35">
      <c r="N562" s="1" t="s">
        <v>83</v>
      </c>
      <c r="O562" s="4" t="s">
        <v>229</v>
      </c>
      <c r="P562" s="4" t="s">
        <v>733</v>
      </c>
      <c r="V562" s="1"/>
      <c r="Z562"/>
      <c r="AA562"/>
    </row>
    <row r="563" spans="14:27" x14ac:dyDescent="0.35">
      <c r="N563" s="1" t="s">
        <v>83</v>
      </c>
      <c r="O563" s="4" t="s">
        <v>229</v>
      </c>
      <c r="P563" s="4" t="s">
        <v>735</v>
      </c>
      <c r="V563" s="1"/>
      <c r="Z563"/>
      <c r="AA563"/>
    </row>
    <row r="564" spans="14:27" x14ac:dyDescent="0.35">
      <c r="N564" s="1" t="s">
        <v>83</v>
      </c>
      <c r="O564" s="4" t="s">
        <v>229</v>
      </c>
      <c r="P564" s="4" t="s">
        <v>737</v>
      </c>
      <c r="V564" s="1"/>
      <c r="Z564"/>
      <c r="AA564"/>
    </row>
    <row r="565" spans="14:27" x14ac:dyDescent="0.35">
      <c r="N565" s="1" t="s">
        <v>83</v>
      </c>
      <c r="O565" s="4" t="s">
        <v>229</v>
      </c>
      <c r="P565" s="4" t="s">
        <v>739</v>
      </c>
      <c r="V565" s="1"/>
      <c r="Z565"/>
      <c r="AA565"/>
    </row>
    <row r="566" spans="14:27" x14ac:dyDescent="0.35">
      <c r="N566" s="1" t="s">
        <v>83</v>
      </c>
      <c r="O566" s="4" t="s">
        <v>229</v>
      </c>
      <c r="P566" s="4" t="s">
        <v>741</v>
      </c>
      <c r="V566" s="1"/>
      <c r="Z566"/>
      <c r="AA566"/>
    </row>
    <row r="567" spans="14:27" x14ac:dyDescent="0.35">
      <c r="N567" s="1" t="s">
        <v>83</v>
      </c>
      <c r="O567" s="4" t="s">
        <v>229</v>
      </c>
      <c r="P567" s="4" t="s">
        <v>743</v>
      </c>
      <c r="V567" s="1"/>
      <c r="Z567"/>
      <c r="AA567"/>
    </row>
    <row r="568" spans="14:27" x14ac:dyDescent="0.35">
      <c r="N568" s="1" t="s">
        <v>83</v>
      </c>
      <c r="O568" s="4" t="s">
        <v>232</v>
      </c>
      <c r="P568" s="4" t="s">
        <v>745</v>
      </c>
      <c r="V568" s="1"/>
      <c r="Z568"/>
      <c r="AA568"/>
    </row>
    <row r="569" spans="14:27" x14ac:dyDescent="0.35">
      <c r="N569" s="1" t="s">
        <v>83</v>
      </c>
      <c r="O569" s="4" t="s">
        <v>232</v>
      </c>
      <c r="P569" s="4" t="s">
        <v>747</v>
      </c>
      <c r="V569" s="1"/>
      <c r="Z569"/>
      <c r="AA569"/>
    </row>
    <row r="570" spans="14:27" x14ac:dyDescent="0.35">
      <c r="N570" s="1" t="s">
        <v>83</v>
      </c>
      <c r="O570" s="4" t="s">
        <v>232</v>
      </c>
      <c r="P570" s="4" t="s">
        <v>749</v>
      </c>
      <c r="V570" s="1"/>
      <c r="Z570"/>
      <c r="AA570"/>
    </row>
    <row r="571" spans="14:27" x14ac:dyDescent="0.35">
      <c r="N571" s="1" t="s">
        <v>83</v>
      </c>
      <c r="O571" s="4" t="s">
        <v>235</v>
      </c>
      <c r="P571" s="4" t="s">
        <v>751</v>
      </c>
      <c r="V571" s="1"/>
      <c r="Z571"/>
      <c r="AA571"/>
    </row>
    <row r="572" spans="14:27" x14ac:dyDescent="0.35">
      <c r="N572" s="1" t="s">
        <v>83</v>
      </c>
      <c r="O572" s="4" t="s">
        <v>235</v>
      </c>
      <c r="P572" s="4" t="s">
        <v>753</v>
      </c>
      <c r="V572" s="1"/>
      <c r="Z572"/>
      <c r="AA572"/>
    </row>
    <row r="573" spans="14:27" x14ac:dyDescent="0.35">
      <c r="N573" s="1" t="s">
        <v>83</v>
      </c>
      <c r="O573" s="4" t="s">
        <v>238</v>
      </c>
      <c r="P573" s="4" t="s">
        <v>755</v>
      </c>
      <c r="V573" s="1"/>
      <c r="Z573"/>
      <c r="AA573"/>
    </row>
    <row r="574" spans="14:27" x14ac:dyDescent="0.35">
      <c r="N574" s="1" t="s">
        <v>83</v>
      </c>
      <c r="O574" s="4" t="s">
        <v>238</v>
      </c>
      <c r="P574" s="4" t="s">
        <v>757</v>
      </c>
      <c r="V574" s="1"/>
      <c r="Z574"/>
      <c r="AA574"/>
    </row>
    <row r="575" spans="14:27" x14ac:dyDescent="0.35">
      <c r="N575" s="1" t="s">
        <v>83</v>
      </c>
      <c r="O575" s="4" t="s">
        <v>238</v>
      </c>
      <c r="P575" s="4" t="s">
        <v>759</v>
      </c>
      <c r="V575" s="1"/>
      <c r="Z575"/>
      <c r="AA575"/>
    </row>
    <row r="576" spans="14:27" x14ac:dyDescent="0.35">
      <c r="N576" s="1" t="s">
        <v>83</v>
      </c>
      <c r="O576" s="4" t="s">
        <v>238</v>
      </c>
      <c r="P576" s="4" t="s">
        <v>761</v>
      </c>
      <c r="V576" s="1"/>
      <c r="Z576"/>
      <c r="AA576"/>
    </row>
    <row r="577" spans="14:27" x14ac:dyDescent="0.35">
      <c r="N577" s="1" t="s">
        <v>83</v>
      </c>
      <c r="O577" s="4" t="s">
        <v>238</v>
      </c>
      <c r="P577" s="4" t="s">
        <v>763</v>
      </c>
      <c r="V577" s="1"/>
      <c r="Z577"/>
      <c r="AA577"/>
    </row>
    <row r="578" spans="14:27" x14ac:dyDescent="0.35">
      <c r="N578" s="1" t="s">
        <v>83</v>
      </c>
      <c r="O578" s="4" t="s">
        <v>241</v>
      </c>
      <c r="P578" s="4" t="s">
        <v>764</v>
      </c>
      <c r="V578" s="1"/>
      <c r="Z578"/>
      <c r="AA578"/>
    </row>
    <row r="579" spans="14:27" x14ac:dyDescent="0.35">
      <c r="N579" s="1" t="s">
        <v>83</v>
      </c>
      <c r="O579" s="4" t="s">
        <v>241</v>
      </c>
      <c r="P579" s="4" t="s">
        <v>587</v>
      </c>
      <c r="V579" s="1"/>
      <c r="Z579"/>
      <c r="AA579"/>
    </row>
    <row r="580" spans="14:27" x14ac:dyDescent="0.35">
      <c r="N580" s="1" t="s">
        <v>83</v>
      </c>
      <c r="O580" s="4" t="s">
        <v>241</v>
      </c>
      <c r="P580" s="4" t="s">
        <v>590</v>
      </c>
      <c r="V580" s="1"/>
      <c r="Z580"/>
      <c r="AA580"/>
    </row>
    <row r="581" spans="14:27" x14ac:dyDescent="0.35">
      <c r="V581" s="1"/>
      <c r="Z581"/>
      <c r="AA581"/>
    </row>
    <row r="582" spans="14:27" x14ac:dyDescent="0.35">
      <c r="V582" s="1"/>
      <c r="Z582"/>
      <c r="AA582"/>
    </row>
    <row r="583" spans="14:27" x14ac:dyDescent="0.35">
      <c r="V583" s="1"/>
      <c r="Z583"/>
      <c r="AA583"/>
    </row>
  </sheetData>
  <pageMargins left="0.7" right="0.7" top="0.75" bottom="0.75" header="0.3" footer="0.3"/>
  <pageSetup paperSize="9" orientation="portrait" horizontalDpi="90" verticalDpi="90"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F50"/>
  <sheetViews>
    <sheetView workbookViewId="0">
      <selection activeCell="D10" sqref="D10"/>
    </sheetView>
  </sheetViews>
  <sheetFormatPr defaultRowHeight="14.5" x14ac:dyDescent="0.35"/>
  <cols>
    <col min="2" max="2" width="14.453125" customWidth="1"/>
    <col min="3" max="3" width="27.90625" style="94" bestFit="1" customWidth="1"/>
    <col min="4" max="4" width="14.90625" customWidth="1"/>
    <col min="5" max="5" width="79.08984375" style="4" customWidth="1"/>
    <col min="6" max="6" width="18.90625" bestFit="1" customWidth="1"/>
  </cols>
  <sheetData>
    <row r="2" spans="2:6" ht="29" x14ac:dyDescent="0.35">
      <c r="B2" s="97" t="s">
        <v>906</v>
      </c>
      <c r="C2" s="98" t="s">
        <v>907</v>
      </c>
      <c r="D2" s="106" t="s">
        <v>908</v>
      </c>
      <c r="E2" s="112" t="s">
        <v>909</v>
      </c>
      <c r="F2" s="106" t="s">
        <v>932</v>
      </c>
    </row>
    <row r="3" spans="2:6" ht="19.5" customHeight="1" x14ac:dyDescent="0.35">
      <c r="B3" s="92">
        <v>1.2</v>
      </c>
      <c r="C3" s="95">
        <v>43882</v>
      </c>
      <c r="D3" s="110" t="s">
        <v>910</v>
      </c>
      <c r="E3" s="109" t="s">
        <v>911</v>
      </c>
      <c r="F3" s="107" t="s">
        <v>933</v>
      </c>
    </row>
    <row r="4" spans="2:6" ht="29" x14ac:dyDescent="0.35">
      <c r="B4" s="92">
        <v>1.3</v>
      </c>
      <c r="C4" s="95">
        <v>43941</v>
      </c>
      <c r="D4" s="110" t="s">
        <v>912</v>
      </c>
      <c r="E4" s="109" t="s">
        <v>913</v>
      </c>
      <c r="F4" s="107" t="s">
        <v>933</v>
      </c>
    </row>
    <row r="5" spans="2:6" ht="58" x14ac:dyDescent="0.35">
      <c r="B5" s="92">
        <v>1.3</v>
      </c>
      <c r="C5" s="95">
        <v>43945</v>
      </c>
      <c r="D5" s="110" t="s">
        <v>912</v>
      </c>
      <c r="E5" s="109" t="s">
        <v>914</v>
      </c>
      <c r="F5" s="107" t="s">
        <v>933</v>
      </c>
    </row>
    <row r="6" spans="2:6" ht="29" x14ac:dyDescent="0.35">
      <c r="B6" s="92">
        <v>1.3</v>
      </c>
      <c r="C6" s="95">
        <v>43950</v>
      </c>
      <c r="D6" s="110" t="s">
        <v>915</v>
      </c>
      <c r="E6" s="109" t="s">
        <v>916</v>
      </c>
      <c r="F6" s="107" t="s">
        <v>933</v>
      </c>
    </row>
    <row r="7" spans="2:6" ht="29" x14ac:dyDescent="0.35">
      <c r="B7" s="92">
        <v>1.3</v>
      </c>
      <c r="C7" s="95">
        <v>43958</v>
      </c>
      <c r="D7" s="110" t="s">
        <v>917</v>
      </c>
      <c r="E7" s="109" t="s">
        <v>918</v>
      </c>
      <c r="F7" s="107" t="s">
        <v>933</v>
      </c>
    </row>
    <row r="8" spans="2:6" ht="32" x14ac:dyDescent="0.35">
      <c r="B8" s="92">
        <v>1.3</v>
      </c>
      <c r="C8" s="95">
        <v>44012</v>
      </c>
      <c r="D8" s="110" t="s">
        <v>935</v>
      </c>
      <c r="E8" s="105" t="s">
        <v>936</v>
      </c>
      <c r="F8" s="107" t="s">
        <v>934</v>
      </c>
    </row>
    <row r="9" spans="2:6" ht="29" x14ac:dyDescent="0.35">
      <c r="B9" s="92">
        <v>1.4</v>
      </c>
      <c r="C9" s="95">
        <v>44090</v>
      </c>
      <c r="D9" s="110" t="s">
        <v>939</v>
      </c>
      <c r="E9" s="109" t="s">
        <v>938</v>
      </c>
      <c r="F9" s="107" t="s">
        <v>937</v>
      </c>
    </row>
    <row r="10" spans="2:6" ht="29" x14ac:dyDescent="0.35">
      <c r="B10" s="92">
        <v>1.4</v>
      </c>
      <c r="C10" s="95">
        <v>44090</v>
      </c>
      <c r="D10" s="110" t="s">
        <v>942</v>
      </c>
      <c r="E10" s="109" t="s">
        <v>940</v>
      </c>
      <c r="F10" s="107" t="s">
        <v>937</v>
      </c>
    </row>
    <row r="11" spans="2:6" ht="29" x14ac:dyDescent="0.35">
      <c r="B11" s="92">
        <v>1.4</v>
      </c>
      <c r="C11" s="95">
        <v>44090</v>
      </c>
      <c r="D11" s="110" t="s">
        <v>943</v>
      </c>
      <c r="E11" s="109" t="s">
        <v>941</v>
      </c>
      <c r="F11" s="107" t="s">
        <v>937</v>
      </c>
    </row>
    <row r="12" spans="2:6" x14ac:dyDescent="0.35">
      <c r="B12" s="92"/>
      <c r="C12" s="95"/>
      <c r="D12" s="110"/>
      <c r="E12" s="109"/>
      <c r="F12" s="107"/>
    </row>
    <row r="13" spans="2:6" x14ac:dyDescent="0.35">
      <c r="B13" s="92"/>
      <c r="C13" s="95"/>
      <c r="D13" s="110"/>
      <c r="E13" s="109"/>
      <c r="F13" s="107"/>
    </row>
    <row r="14" spans="2:6" x14ac:dyDescent="0.35">
      <c r="B14" s="92"/>
      <c r="C14" s="95"/>
      <c r="D14" s="110"/>
      <c r="E14" s="109"/>
      <c r="F14" s="107"/>
    </row>
    <row r="15" spans="2:6" x14ac:dyDescent="0.35">
      <c r="B15" s="92"/>
      <c r="C15" s="95"/>
      <c r="D15" s="110"/>
      <c r="E15" s="109"/>
      <c r="F15" s="107"/>
    </row>
    <row r="16" spans="2:6" x14ac:dyDescent="0.35">
      <c r="B16" s="92"/>
      <c r="C16" s="95"/>
      <c r="D16" s="110"/>
      <c r="E16" s="109"/>
      <c r="F16" s="107"/>
    </row>
    <row r="17" spans="2:6" x14ac:dyDescent="0.35">
      <c r="B17" s="92"/>
      <c r="C17" s="95"/>
      <c r="D17" s="110"/>
      <c r="E17" s="109"/>
      <c r="F17" s="107"/>
    </row>
    <row r="18" spans="2:6" x14ac:dyDescent="0.35">
      <c r="B18" s="92"/>
      <c r="C18" s="95"/>
      <c r="D18" s="110"/>
      <c r="E18" s="109"/>
      <c r="F18" s="107"/>
    </row>
    <row r="19" spans="2:6" x14ac:dyDescent="0.35">
      <c r="B19" s="92"/>
      <c r="C19" s="95"/>
      <c r="D19" s="110"/>
      <c r="E19" s="109"/>
      <c r="F19" s="107"/>
    </row>
    <row r="20" spans="2:6" x14ac:dyDescent="0.35">
      <c r="B20" s="92"/>
      <c r="C20" s="95"/>
      <c r="D20" s="110"/>
      <c r="E20" s="109"/>
      <c r="F20" s="107"/>
    </row>
    <row r="21" spans="2:6" x14ac:dyDescent="0.35">
      <c r="B21" s="92"/>
      <c r="C21" s="95"/>
      <c r="D21" s="110"/>
      <c r="E21" s="109"/>
      <c r="F21" s="107"/>
    </row>
    <row r="22" spans="2:6" x14ac:dyDescent="0.35">
      <c r="B22" s="92"/>
      <c r="C22" s="95"/>
      <c r="D22" s="110"/>
      <c r="E22" s="109"/>
      <c r="F22" s="107"/>
    </row>
    <row r="23" spans="2:6" x14ac:dyDescent="0.35">
      <c r="B23" s="92"/>
      <c r="C23" s="95"/>
      <c r="D23" s="110"/>
      <c r="E23" s="109"/>
      <c r="F23" s="107"/>
    </row>
    <row r="24" spans="2:6" x14ac:dyDescent="0.35">
      <c r="B24" s="92"/>
      <c r="C24" s="95"/>
      <c r="D24" s="110"/>
      <c r="E24" s="109"/>
      <c r="F24" s="107"/>
    </row>
    <row r="25" spans="2:6" x14ac:dyDescent="0.35">
      <c r="B25" s="92"/>
      <c r="C25" s="95"/>
      <c r="D25" s="110"/>
      <c r="E25" s="109"/>
      <c r="F25" s="107"/>
    </row>
    <row r="26" spans="2:6" x14ac:dyDescent="0.35">
      <c r="B26" s="92"/>
      <c r="C26" s="95"/>
      <c r="D26" s="110"/>
      <c r="E26" s="109"/>
      <c r="F26" s="107"/>
    </row>
    <row r="27" spans="2:6" x14ac:dyDescent="0.35">
      <c r="B27" s="92"/>
      <c r="C27" s="95"/>
      <c r="D27" s="110"/>
      <c r="E27" s="109"/>
      <c r="F27" s="107"/>
    </row>
    <row r="28" spans="2:6" x14ac:dyDescent="0.35">
      <c r="B28" s="92"/>
      <c r="C28" s="95"/>
      <c r="D28" s="110"/>
      <c r="E28" s="109"/>
      <c r="F28" s="107"/>
    </row>
    <row r="29" spans="2:6" x14ac:dyDescent="0.35">
      <c r="B29" s="92"/>
      <c r="C29" s="95"/>
      <c r="D29" s="110"/>
      <c r="E29" s="109"/>
      <c r="F29" s="107"/>
    </row>
    <row r="30" spans="2:6" x14ac:dyDescent="0.35">
      <c r="B30" s="92"/>
      <c r="C30" s="95"/>
      <c r="D30" s="110"/>
      <c r="E30" s="109"/>
      <c r="F30" s="107"/>
    </row>
    <row r="31" spans="2:6" x14ac:dyDescent="0.35">
      <c r="B31" s="92"/>
      <c r="C31" s="95"/>
      <c r="D31" s="110"/>
      <c r="E31" s="109"/>
      <c r="F31" s="107"/>
    </row>
    <row r="32" spans="2:6" x14ac:dyDescent="0.35">
      <c r="B32" s="92"/>
      <c r="C32" s="95"/>
      <c r="D32" s="110"/>
      <c r="E32" s="109"/>
      <c r="F32" s="107"/>
    </row>
    <row r="33" spans="2:6" x14ac:dyDescent="0.35">
      <c r="B33" s="92"/>
      <c r="C33" s="95"/>
      <c r="D33" s="110"/>
      <c r="E33" s="109"/>
      <c r="F33" s="107"/>
    </row>
    <row r="34" spans="2:6" x14ac:dyDescent="0.35">
      <c r="B34" s="92"/>
      <c r="C34" s="95"/>
      <c r="D34" s="110"/>
      <c r="E34" s="109"/>
      <c r="F34" s="107"/>
    </row>
    <row r="35" spans="2:6" x14ac:dyDescent="0.35">
      <c r="B35" s="92"/>
      <c r="C35" s="95"/>
      <c r="D35" s="110"/>
      <c r="E35" s="109"/>
      <c r="F35" s="107"/>
    </row>
    <row r="36" spans="2:6" x14ac:dyDescent="0.35">
      <c r="B36" s="92"/>
      <c r="C36" s="95"/>
      <c r="D36" s="110"/>
      <c r="E36" s="109"/>
      <c r="F36" s="107"/>
    </row>
    <row r="37" spans="2:6" x14ac:dyDescent="0.35">
      <c r="B37" s="92"/>
      <c r="C37" s="95"/>
      <c r="D37" s="110"/>
      <c r="E37" s="109"/>
      <c r="F37" s="107"/>
    </row>
    <row r="38" spans="2:6" x14ac:dyDescent="0.35">
      <c r="B38" s="92"/>
      <c r="C38" s="95"/>
      <c r="D38" s="110"/>
      <c r="E38" s="109"/>
      <c r="F38" s="107"/>
    </row>
    <row r="39" spans="2:6" x14ac:dyDescent="0.35">
      <c r="B39" s="92"/>
      <c r="C39" s="95"/>
      <c r="D39" s="110"/>
      <c r="E39" s="109"/>
      <c r="F39" s="107"/>
    </row>
    <row r="40" spans="2:6" x14ac:dyDescent="0.35">
      <c r="B40" s="92"/>
      <c r="C40" s="95"/>
      <c r="D40" s="110"/>
      <c r="E40" s="109"/>
      <c r="F40" s="107"/>
    </row>
    <row r="41" spans="2:6" x14ac:dyDescent="0.35">
      <c r="B41" s="92"/>
      <c r="C41" s="95"/>
      <c r="D41" s="110"/>
      <c r="E41" s="109"/>
      <c r="F41" s="107"/>
    </row>
    <row r="42" spans="2:6" x14ac:dyDescent="0.35">
      <c r="B42" s="92"/>
      <c r="C42" s="95"/>
      <c r="D42" s="110"/>
      <c r="E42" s="109"/>
      <c r="F42" s="107"/>
    </row>
    <row r="43" spans="2:6" x14ac:dyDescent="0.35">
      <c r="B43" s="92"/>
      <c r="C43" s="95"/>
      <c r="D43" s="110"/>
      <c r="E43" s="109"/>
      <c r="F43" s="107"/>
    </row>
    <row r="44" spans="2:6" x14ac:dyDescent="0.35">
      <c r="B44" s="92"/>
      <c r="C44" s="95"/>
      <c r="D44" s="110"/>
      <c r="E44" s="109"/>
      <c r="F44" s="107"/>
    </row>
    <row r="45" spans="2:6" x14ac:dyDescent="0.35">
      <c r="B45" s="92"/>
      <c r="C45" s="95"/>
      <c r="D45" s="110"/>
      <c r="E45" s="109"/>
      <c r="F45" s="107"/>
    </row>
    <row r="46" spans="2:6" x14ac:dyDescent="0.35">
      <c r="B46" s="92"/>
      <c r="C46" s="95"/>
      <c r="D46" s="110"/>
      <c r="E46" s="109"/>
      <c r="F46" s="107"/>
    </row>
    <row r="47" spans="2:6" x14ac:dyDescent="0.35">
      <c r="B47" s="92"/>
      <c r="C47" s="95"/>
      <c r="D47" s="110"/>
      <c r="E47" s="109"/>
      <c r="F47" s="107"/>
    </row>
    <row r="48" spans="2:6" x14ac:dyDescent="0.35">
      <c r="B48" s="92"/>
      <c r="C48" s="95"/>
      <c r="D48" s="110"/>
      <c r="E48" s="109"/>
      <c r="F48" s="107"/>
    </row>
    <row r="49" spans="2:6" x14ac:dyDescent="0.35">
      <c r="B49" s="92"/>
      <c r="C49" s="95"/>
      <c r="D49" s="110"/>
      <c r="E49" s="109"/>
      <c r="F49" s="107"/>
    </row>
    <row r="50" spans="2:6" x14ac:dyDescent="0.35">
      <c r="B50" s="93"/>
      <c r="C50" s="96"/>
      <c r="D50" s="111"/>
      <c r="E50" s="113"/>
      <c r="F50" s="108"/>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F160"/>
  <sheetViews>
    <sheetView workbookViewId="0"/>
  </sheetViews>
  <sheetFormatPr defaultRowHeight="14.5" x14ac:dyDescent="0.35"/>
  <sheetData>
    <row r="1" spans="1:32" x14ac:dyDescent="0.35">
      <c r="A1" t="s">
        <v>839</v>
      </c>
      <c r="B1" t="s">
        <v>957</v>
      </c>
      <c r="Y1" s="115" t="s">
        <v>1122</v>
      </c>
      <c r="Z1" s="115" t="s">
        <v>1123</v>
      </c>
      <c r="AA1" t="s">
        <v>958</v>
      </c>
      <c r="AB1" t="s">
        <v>1109</v>
      </c>
      <c r="AC1" t="s">
        <v>1113</v>
      </c>
      <c r="AD1" t="s">
        <v>1114</v>
      </c>
      <c r="AE1" t="s">
        <v>1115</v>
      </c>
      <c r="AF1" t="s">
        <v>1119</v>
      </c>
    </row>
    <row r="2" spans="1:32" x14ac:dyDescent="0.35">
      <c r="Y2" s="115"/>
      <c r="Z2" s="115"/>
      <c r="AA2" s="115" t="s">
        <v>959</v>
      </c>
      <c r="AB2" s="115" t="s">
        <v>1110</v>
      </c>
      <c r="AC2" s="115" t="s">
        <v>805</v>
      </c>
      <c r="AD2" s="115" t="s">
        <v>805</v>
      </c>
      <c r="AE2" s="115" t="s">
        <v>828</v>
      </c>
      <c r="AF2" s="115" t="s">
        <v>1120</v>
      </c>
    </row>
    <row r="3" spans="1:32" x14ac:dyDescent="0.35">
      <c r="AA3" s="115" t="s">
        <v>111</v>
      </c>
      <c r="AB3" s="115" t="s">
        <v>1111</v>
      </c>
      <c r="AC3" s="115" t="s">
        <v>804</v>
      </c>
      <c r="AD3" s="115" t="s">
        <v>804</v>
      </c>
      <c r="AE3" s="115" t="s">
        <v>1116</v>
      </c>
      <c r="AF3" s="115" t="s">
        <v>1121</v>
      </c>
    </row>
    <row r="4" spans="1:32" x14ac:dyDescent="0.35">
      <c r="AA4" s="115" t="s">
        <v>106</v>
      </c>
      <c r="AB4" s="115" t="s">
        <v>1112</v>
      </c>
      <c r="AC4" s="115" t="s">
        <v>803</v>
      </c>
      <c r="AD4" s="115" t="s">
        <v>803</v>
      </c>
      <c r="AE4" s="115" t="s">
        <v>1117</v>
      </c>
    </row>
    <row r="5" spans="1:32" x14ac:dyDescent="0.35">
      <c r="AA5" s="115" t="s">
        <v>960</v>
      </c>
      <c r="AC5" s="115" t="s">
        <v>893</v>
      </c>
      <c r="AE5" s="115" t="s">
        <v>893</v>
      </c>
    </row>
    <row r="6" spans="1:32" x14ac:dyDescent="0.35">
      <c r="AA6" s="115" t="s">
        <v>961</v>
      </c>
      <c r="AE6" s="115" t="s">
        <v>1118</v>
      </c>
    </row>
    <row r="7" spans="1:32" x14ac:dyDescent="0.35">
      <c r="AA7" s="115" t="s">
        <v>962</v>
      </c>
    </row>
    <row r="8" spans="1:32" x14ac:dyDescent="0.35">
      <c r="AA8" s="115" t="s">
        <v>963</v>
      </c>
    </row>
    <row r="9" spans="1:32" x14ac:dyDescent="0.35">
      <c r="AA9" s="115" t="s">
        <v>964</v>
      </c>
    </row>
    <row r="10" spans="1:32" x14ac:dyDescent="0.35">
      <c r="AA10" s="115" t="s">
        <v>965</v>
      </c>
    </row>
    <row r="11" spans="1:32" x14ac:dyDescent="0.35">
      <c r="AA11" s="115" t="s">
        <v>966</v>
      </c>
    </row>
    <row r="12" spans="1:32" x14ac:dyDescent="0.35">
      <c r="AA12" s="115" t="s">
        <v>967</v>
      </c>
    </row>
    <row r="13" spans="1:32" x14ac:dyDescent="0.35">
      <c r="AA13" s="115" t="s">
        <v>968</v>
      </c>
    </row>
    <row r="14" spans="1:32" x14ac:dyDescent="0.35">
      <c r="AA14" s="115" t="s">
        <v>969</v>
      </c>
    </row>
    <row r="15" spans="1:32" x14ac:dyDescent="0.35">
      <c r="AA15" s="115" t="s">
        <v>970</v>
      </c>
    </row>
    <row r="16" spans="1:32" x14ac:dyDescent="0.35">
      <c r="AA16" s="115" t="s">
        <v>971</v>
      </c>
    </row>
    <row r="17" spans="27:27" x14ac:dyDescent="0.35">
      <c r="AA17" s="115" t="s">
        <v>972</v>
      </c>
    </row>
    <row r="18" spans="27:27" x14ac:dyDescent="0.35">
      <c r="AA18" s="115" t="s">
        <v>973</v>
      </c>
    </row>
    <row r="19" spans="27:27" x14ac:dyDescent="0.35">
      <c r="AA19" s="115" t="s">
        <v>974</v>
      </c>
    </row>
    <row r="20" spans="27:27" x14ac:dyDescent="0.35">
      <c r="AA20" s="115" t="s">
        <v>975</v>
      </c>
    </row>
    <row r="21" spans="27:27" x14ac:dyDescent="0.35">
      <c r="AA21" s="115" t="s">
        <v>976</v>
      </c>
    </row>
    <row r="22" spans="27:27" x14ac:dyDescent="0.35">
      <c r="AA22" s="115" t="s">
        <v>977</v>
      </c>
    </row>
    <row r="23" spans="27:27" x14ac:dyDescent="0.35">
      <c r="AA23" s="115" t="s">
        <v>978</v>
      </c>
    </row>
    <row r="24" spans="27:27" x14ac:dyDescent="0.35">
      <c r="AA24" s="115" t="s">
        <v>979</v>
      </c>
    </row>
    <row r="25" spans="27:27" x14ac:dyDescent="0.35">
      <c r="AA25" s="115" t="s">
        <v>980</v>
      </c>
    </row>
    <row r="26" spans="27:27" x14ac:dyDescent="0.35">
      <c r="AA26" s="115" t="s">
        <v>981</v>
      </c>
    </row>
    <row r="27" spans="27:27" x14ac:dyDescent="0.35">
      <c r="AA27" s="115" t="s">
        <v>982</v>
      </c>
    </row>
    <row r="28" spans="27:27" x14ac:dyDescent="0.35">
      <c r="AA28" s="115" t="s">
        <v>983</v>
      </c>
    </row>
    <row r="29" spans="27:27" x14ac:dyDescent="0.35">
      <c r="AA29" s="115" t="s">
        <v>984</v>
      </c>
    </row>
    <row r="30" spans="27:27" x14ac:dyDescent="0.35">
      <c r="AA30" s="115" t="s">
        <v>985</v>
      </c>
    </row>
    <row r="31" spans="27:27" x14ac:dyDescent="0.35">
      <c r="AA31" s="115" t="s">
        <v>986</v>
      </c>
    </row>
    <row r="32" spans="27:27" x14ac:dyDescent="0.35">
      <c r="AA32" s="115" t="s">
        <v>987</v>
      </c>
    </row>
    <row r="33" spans="27:27" x14ac:dyDescent="0.35">
      <c r="AA33" s="115" t="s">
        <v>988</v>
      </c>
    </row>
    <row r="34" spans="27:27" x14ac:dyDescent="0.35">
      <c r="AA34" s="115" t="s">
        <v>989</v>
      </c>
    </row>
    <row r="35" spans="27:27" x14ac:dyDescent="0.35">
      <c r="AA35" s="115" t="s">
        <v>990</v>
      </c>
    </row>
    <row r="36" spans="27:27" x14ac:dyDescent="0.35">
      <c r="AA36" s="115" t="s">
        <v>991</v>
      </c>
    </row>
    <row r="37" spans="27:27" x14ac:dyDescent="0.35">
      <c r="AA37" s="115" t="s">
        <v>992</v>
      </c>
    </row>
    <row r="38" spans="27:27" x14ac:dyDescent="0.35">
      <c r="AA38" s="115" t="s">
        <v>993</v>
      </c>
    </row>
    <row r="39" spans="27:27" x14ac:dyDescent="0.35">
      <c r="AA39" s="115" t="s">
        <v>994</v>
      </c>
    </row>
    <row r="40" spans="27:27" x14ac:dyDescent="0.35">
      <c r="AA40" s="115" t="s">
        <v>995</v>
      </c>
    </row>
    <row r="41" spans="27:27" x14ac:dyDescent="0.35">
      <c r="AA41" s="115" t="s">
        <v>996</v>
      </c>
    </row>
    <row r="42" spans="27:27" x14ac:dyDescent="0.35">
      <c r="AA42" s="115" t="s">
        <v>997</v>
      </c>
    </row>
    <row r="43" spans="27:27" x14ac:dyDescent="0.35">
      <c r="AA43" s="115" t="s">
        <v>998</v>
      </c>
    </row>
    <row r="44" spans="27:27" x14ac:dyDescent="0.35">
      <c r="AA44" s="115" t="s">
        <v>999</v>
      </c>
    </row>
    <row r="45" spans="27:27" x14ac:dyDescent="0.35">
      <c r="AA45" s="115" t="s">
        <v>1000</v>
      </c>
    </row>
    <row r="46" spans="27:27" x14ac:dyDescent="0.35">
      <c r="AA46" s="115" t="s">
        <v>1001</v>
      </c>
    </row>
    <row r="47" spans="27:27" x14ac:dyDescent="0.35">
      <c r="AA47" s="115" t="s">
        <v>1002</v>
      </c>
    </row>
    <row r="48" spans="27:27" x14ac:dyDescent="0.35">
      <c r="AA48" s="115" t="s">
        <v>1003</v>
      </c>
    </row>
    <row r="49" spans="27:27" x14ac:dyDescent="0.35">
      <c r="AA49" s="115" t="s">
        <v>1004</v>
      </c>
    </row>
    <row r="50" spans="27:27" x14ac:dyDescent="0.35">
      <c r="AA50" s="115" t="s">
        <v>1005</v>
      </c>
    </row>
    <row r="51" spans="27:27" x14ac:dyDescent="0.35">
      <c r="AA51" s="115" t="s">
        <v>1006</v>
      </c>
    </row>
    <row r="52" spans="27:27" x14ac:dyDescent="0.35">
      <c r="AA52" s="115" t="s">
        <v>1007</v>
      </c>
    </row>
    <row r="53" spans="27:27" x14ac:dyDescent="0.35">
      <c r="AA53" s="115" t="s">
        <v>1008</v>
      </c>
    </row>
    <row r="54" spans="27:27" x14ac:dyDescent="0.35">
      <c r="AA54" s="115" t="s">
        <v>1009</v>
      </c>
    </row>
    <row r="55" spans="27:27" x14ac:dyDescent="0.35">
      <c r="AA55" s="115" t="s">
        <v>1010</v>
      </c>
    </row>
    <row r="56" spans="27:27" x14ac:dyDescent="0.35">
      <c r="AA56" s="115" t="s">
        <v>1011</v>
      </c>
    </row>
    <row r="57" spans="27:27" x14ac:dyDescent="0.35">
      <c r="AA57" s="115" t="s">
        <v>1012</v>
      </c>
    </row>
    <row r="58" spans="27:27" x14ac:dyDescent="0.35">
      <c r="AA58" s="115" t="s">
        <v>1013</v>
      </c>
    </row>
    <row r="59" spans="27:27" x14ac:dyDescent="0.35">
      <c r="AA59" s="115" t="s">
        <v>1014</v>
      </c>
    </row>
    <row r="60" spans="27:27" x14ac:dyDescent="0.35">
      <c r="AA60" s="115" t="s">
        <v>1015</v>
      </c>
    </row>
    <row r="61" spans="27:27" x14ac:dyDescent="0.35">
      <c r="AA61" s="115" t="s">
        <v>1016</v>
      </c>
    </row>
    <row r="62" spans="27:27" x14ac:dyDescent="0.35">
      <c r="AA62" s="115" t="s">
        <v>1017</v>
      </c>
    </row>
    <row r="63" spans="27:27" x14ac:dyDescent="0.35">
      <c r="AA63" s="115" t="s">
        <v>1018</v>
      </c>
    </row>
    <row r="64" spans="27:27" x14ac:dyDescent="0.35">
      <c r="AA64" s="115" t="s">
        <v>1019</v>
      </c>
    </row>
    <row r="65" spans="27:27" x14ac:dyDescent="0.35">
      <c r="AA65" s="115" t="s">
        <v>1020</v>
      </c>
    </row>
    <row r="66" spans="27:27" x14ac:dyDescent="0.35">
      <c r="AA66" s="115" t="s">
        <v>1021</v>
      </c>
    </row>
    <row r="67" spans="27:27" x14ac:dyDescent="0.35">
      <c r="AA67" s="115" t="s">
        <v>1022</v>
      </c>
    </row>
    <row r="68" spans="27:27" x14ac:dyDescent="0.35">
      <c r="AA68" s="115" t="s">
        <v>1023</v>
      </c>
    </row>
    <row r="69" spans="27:27" x14ac:dyDescent="0.35">
      <c r="AA69" s="115" t="s">
        <v>1024</v>
      </c>
    </row>
    <row r="70" spans="27:27" x14ac:dyDescent="0.35">
      <c r="AA70" s="115" t="s">
        <v>1025</v>
      </c>
    </row>
    <row r="71" spans="27:27" x14ac:dyDescent="0.35">
      <c r="AA71" s="115" t="s">
        <v>1026</v>
      </c>
    </row>
    <row r="72" spans="27:27" x14ac:dyDescent="0.35">
      <c r="AA72" s="115" t="s">
        <v>1027</v>
      </c>
    </row>
    <row r="73" spans="27:27" x14ac:dyDescent="0.35">
      <c r="AA73" s="115" t="s">
        <v>1028</v>
      </c>
    </row>
    <row r="74" spans="27:27" x14ac:dyDescent="0.35">
      <c r="AA74" s="115" t="s">
        <v>1029</v>
      </c>
    </row>
    <row r="75" spans="27:27" x14ac:dyDescent="0.35">
      <c r="AA75" s="115" t="s">
        <v>1030</v>
      </c>
    </row>
    <row r="76" spans="27:27" x14ac:dyDescent="0.35">
      <c r="AA76" s="115" t="s">
        <v>1031</v>
      </c>
    </row>
    <row r="77" spans="27:27" x14ac:dyDescent="0.35">
      <c r="AA77" s="115" t="s">
        <v>1032</v>
      </c>
    </row>
    <row r="78" spans="27:27" x14ac:dyDescent="0.35">
      <c r="AA78" s="115" t="s">
        <v>1033</v>
      </c>
    </row>
    <row r="79" spans="27:27" x14ac:dyDescent="0.35">
      <c r="AA79" s="115" t="s">
        <v>1034</v>
      </c>
    </row>
    <row r="80" spans="27:27" x14ac:dyDescent="0.35">
      <c r="AA80" s="115" t="s">
        <v>1035</v>
      </c>
    </row>
    <row r="81" spans="27:27" x14ac:dyDescent="0.35">
      <c r="AA81" s="115" t="s">
        <v>1036</v>
      </c>
    </row>
    <row r="82" spans="27:27" x14ac:dyDescent="0.35">
      <c r="AA82" s="115" t="s">
        <v>1037</v>
      </c>
    </row>
    <row r="83" spans="27:27" x14ac:dyDescent="0.35">
      <c r="AA83" s="115" t="s">
        <v>1038</v>
      </c>
    </row>
    <row r="84" spans="27:27" x14ac:dyDescent="0.35">
      <c r="AA84" s="115" t="s">
        <v>1039</v>
      </c>
    </row>
    <row r="85" spans="27:27" x14ac:dyDescent="0.35">
      <c r="AA85" s="115" t="s">
        <v>1040</v>
      </c>
    </row>
    <row r="86" spans="27:27" x14ac:dyDescent="0.35">
      <c r="AA86" s="115" t="s">
        <v>1041</v>
      </c>
    </row>
    <row r="87" spans="27:27" x14ac:dyDescent="0.35">
      <c r="AA87" s="115" t="s">
        <v>1042</v>
      </c>
    </row>
    <row r="88" spans="27:27" x14ac:dyDescent="0.35">
      <c r="AA88" s="115" t="s">
        <v>1043</v>
      </c>
    </row>
    <row r="89" spans="27:27" x14ac:dyDescent="0.35">
      <c r="AA89" s="115" t="s">
        <v>1044</v>
      </c>
    </row>
    <row r="90" spans="27:27" x14ac:dyDescent="0.35">
      <c r="AA90" s="115" t="s">
        <v>1045</v>
      </c>
    </row>
    <row r="91" spans="27:27" x14ac:dyDescent="0.35">
      <c r="AA91" s="115" t="s">
        <v>1046</v>
      </c>
    </row>
    <row r="92" spans="27:27" x14ac:dyDescent="0.35">
      <c r="AA92" s="115" t="s">
        <v>1047</v>
      </c>
    </row>
    <row r="93" spans="27:27" x14ac:dyDescent="0.35">
      <c r="AA93" s="115" t="s">
        <v>1048</v>
      </c>
    </row>
    <row r="94" spans="27:27" x14ac:dyDescent="0.35">
      <c r="AA94" s="115" t="s">
        <v>1049</v>
      </c>
    </row>
    <row r="95" spans="27:27" x14ac:dyDescent="0.35">
      <c r="AA95" s="115" t="s">
        <v>1050</v>
      </c>
    </row>
    <row r="96" spans="27:27" x14ac:dyDescent="0.35">
      <c r="AA96" s="115" t="s">
        <v>1051</v>
      </c>
    </row>
    <row r="97" spans="27:27" x14ac:dyDescent="0.35">
      <c r="AA97" s="115" t="s">
        <v>1052</v>
      </c>
    </row>
    <row r="98" spans="27:27" x14ac:dyDescent="0.35">
      <c r="AA98" s="115" t="s">
        <v>1053</v>
      </c>
    </row>
    <row r="99" spans="27:27" x14ac:dyDescent="0.35">
      <c r="AA99" s="115" t="s">
        <v>1054</v>
      </c>
    </row>
    <row r="100" spans="27:27" x14ac:dyDescent="0.35">
      <c r="AA100" s="115" t="s">
        <v>1055</v>
      </c>
    </row>
    <row r="101" spans="27:27" x14ac:dyDescent="0.35">
      <c r="AA101" s="115" t="s">
        <v>1056</v>
      </c>
    </row>
    <row r="102" spans="27:27" x14ac:dyDescent="0.35">
      <c r="AA102" s="115" t="s">
        <v>1057</v>
      </c>
    </row>
    <row r="103" spans="27:27" x14ac:dyDescent="0.35">
      <c r="AA103" s="115" t="s">
        <v>1058</v>
      </c>
    </row>
    <row r="104" spans="27:27" x14ac:dyDescent="0.35">
      <c r="AA104" s="115" t="s">
        <v>1059</v>
      </c>
    </row>
    <row r="105" spans="27:27" x14ac:dyDescent="0.35">
      <c r="AA105" s="115" t="s">
        <v>1060</v>
      </c>
    </row>
    <row r="106" spans="27:27" x14ac:dyDescent="0.35">
      <c r="AA106" s="115" t="s">
        <v>1061</v>
      </c>
    </row>
    <row r="107" spans="27:27" x14ac:dyDescent="0.35">
      <c r="AA107" s="115" t="s">
        <v>1062</v>
      </c>
    </row>
    <row r="108" spans="27:27" x14ac:dyDescent="0.35">
      <c r="AA108" s="115" t="s">
        <v>1063</v>
      </c>
    </row>
    <row r="109" spans="27:27" x14ac:dyDescent="0.35">
      <c r="AA109" s="115" t="s">
        <v>1064</v>
      </c>
    </row>
    <row r="110" spans="27:27" x14ac:dyDescent="0.35">
      <c r="AA110" s="115" t="s">
        <v>1065</v>
      </c>
    </row>
    <row r="111" spans="27:27" x14ac:dyDescent="0.35">
      <c r="AA111" s="115" t="s">
        <v>1066</v>
      </c>
    </row>
    <row r="112" spans="27:27" x14ac:dyDescent="0.35">
      <c r="AA112" s="115" t="s">
        <v>1067</v>
      </c>
    </row>
    <row r="113" spans="27:27" x14ac:dyDescent="0.35">
      <c r="AA113" s="115" t="s">
        <v>1068</v>
      </c>
    </row>
    <row r="114" spans="27:27" x14ac:dyDescent="0.35">
      <c r="AA114" s="115" t="s">
        <v>1069</v>
      </c>
    </row>
    <row r="115" spans="27:27" x14ac:dyDescent="0.35">
      <c r="AA115" s="115" t="s">
        <v>1070</v>
      </c>
    </row>
    <row r="116" spans="27:27" x14ac:dyDescent="0.35">
      <c r="AA116" s="115" t="s">
        <v>1071</v>
      </c>
    </row>
    <row r="117" spans="27:27" x14ac:dyDescent="0.35">
      <c r="AA117" s="115" t="s">
        <v>1072</v>
      </c>
    </row>
    <row r="118" spans="27:27" x14ac:dyDescent="0.35">
      <c r="AA118" s="115" t="s">
        <v>1073</v>
      </c>
    </row>
    <row r="119" spans="27:27" x14ac:dyDescent="0.35">
      <c r="AA119" s="115" t="s">
        <v>1074</v>
      </c>
    </row>
    <row r="120" spans="27:27" x14ac:dyDescent="0.35">
      <c r="AA120" s="115" t="s">
        <v>1075</v>
      </c>
    </row>
    <row r="121" spans="27:27" x14ac:dyDescent="0.35">
      <c r="AA121" s="115" t="s">
        <v>1076</v>
      </c>
    </row>
    <row r="122" spans="27:27" x14ac:dyDescent="0.35">
      <c r="AA122" s="115" t="s">
        <v>1077</v>
      </c>
    </row>
    <row r="123" spans="27:27" x14ac:dyDescent="0.35">
      <c r="AA123" s="115" t="s">
        <v>1078</v>
      </c>
    </row>
    <row r="124" spans="27:27" x14ac:dyDescent="0.35">
      <c r="AA124" s="115" t="s">
        <v>1079</v>
      </c>
    </row>
    <row r="125" spans="27:27" x14ac:dyDescent="0.35">
      <c r="AA125" s="115" t="s">
        <v>1080</v>
      </c>
    </row>
    <row r="126" spans="27:27" x14ac:dyDescent="0.35">
      <c r="AA126" s="115" t="s">
        <v>1081</v>
      </c>
    </row>
    <row r="127" spans="27:27" x14ac:dyDescent="0.35">
      <c r="AA127" s="115" t="s">
        <v>1082</v>
      </c>
    </row>
    <row r="128" spans="27:27" x14ac:dyDescent="0.35">
      <c r="AA128" s="115" t="s">
        <v>1083</v>
      </c>
    </row>
    <row r="129" spans="27:27" x14ac:dyDescent="0.35">
      <c r="AA129" s="115" t="s">
        <v>1084</v>
      </c>
    </row>
    <row r="130" spans="27:27" x14ac:dyDescent="0.35">
      <c r="AA130" s="115" t="s">
        <v>1085</v>
      </c>
    </row>
    <row r="131" spans="27:27" x14ac:dyDescent="0.35">
      <c r="AA131" s="115" t="s">
        <v>1086</v>
      </c>
    </row>
    <row r="132" spans="27:27" x14ac:dyDescent="0.35">
      <c r="AA132" s="115" t="s">
        <v>1087</v>
      </c>
    </row>
    <row r="133" spans="27:27" x14ac:dyDescent="0.35">
      <c r="AA133" s="115" t="s">
        <v>1088</v>
      </c>
    </row>
    <row r="134" spans="27:27" x14ac:dyDescent="0.35">
      <c r="AA134" s="115" t="s">
        <v>1089</v>
      </c>
    </row>
    <row r="135" spans="27:27" x14ac:dyDescent="0.35">
      <c r="AA135" s="115" t="s">
        <v>1090</v>
      </c>
    </row>
    <row r="136" spans="27:27" x14ac:dyDescent="0.35">
      <c r="AA136" s="115" t="s">
        <v>1091</v>
      </c>
    </row>
    <row r="137" spans="27:27" x14ac:dyDescent="0.35">
      <c r="AA137" s="115" t="s">
        <v>1092</v>
      </c>
    </row>
    <row r="138" spans="27:27" x14ac:dyDescent="0.35">
      <c r="AA138" s="115" t="s">
        <v>1093</v>
      </c>
    </row>
    <row r="139" spans="27:27" x14ac:dyDescent="0.35">
      <c r="AA139" s="115" t="s">
        <v>1094</v>
      </c>
    </row>
    <row r="140" spans="27:27" x14ac:dyDescent="0.35">
      <c r="AA140" s="115" t="s">
        <v>1095</v>
      </c>
    </row>
    <row r="141" spans="27:27" x14ac:dyDescent="0.35">
      <c r="AA141" s="115" t="s">
        <v>1096</v>
      </c>
    </row>
    <row r="142" spans="27:27" x14ac:dyDescent="0.35">
      <c r="AA142" s="115" t="s">
        <v>1097</v>
      </c>
    </row>
    <row r="143" spans="27:27" x14ac:dyDescent="0.35">
      <c r="AA143" s="115" t="s">
        <v>1098</v>
      </c>
    </row>
    <row r="144" spans="27:27" x14ac:dyDescent="0.35">
      <c r="AA144" s="115" t="s">
        <v>1099</v>
      </c>
    </row>
    <row r="145" spans="27:27" x14ac:dyDescent="0.35">
      <c r="AA145" s="115" t="s">
        <v>1100</v>
      </c>
    </row>
    <row r="146" spans="27:27" x14ac:dyDescent="0.35">
      <c r="AA146" s="115" t="s">
        <v>1101</v>
      </c>
    </row>
    <row r="147" spans="27:27" x14ac:dyDescent="0.35">
      <c r="AA147" s="115" t="s">
        <v>1102</v>
      </c>
    </row>
    <row r="148" spans="27:27" x14ac:dyDescent="0.35">
      <c r="AA148" s="115" t="s">
        <v>1103</v>
      </c>
    </row>
    <row r="149" spans="27:27" x14ac:dyDescent="0.35">
      <c r="AA149" s="115" t="s">
        <v>1104</v>
      </c>
    </row>
    <row r="150" spans="27:27" x14ac:dyDescent="0.35">
      <c r="AA150" s="115" t="s">
        <v>1105</v>
      </c>
    </row>
    <row r="151" spans="27:27" x14ac:dyDescent="0.35">
      <c r="AA151" s="115" t="s">
        <v>1106</v>
      </c>
    </row>
    <row r="152" spans="27:27" x14ac:dyDescent="0.35">
      <c r="AA152" s="115" t="s">
        <v>1107</v>
      </c>
    </row>
    <row r="153" spans="27:27" x14ac:dyDescent="0.35">
      <c r="AA153" s="115" t="s">
        <v>1108</v>
      </c>
    </row>
    <row r="154" spans="27:27" x14ac:dyDescent="0.35">
      <c r="AA154" s="115" t="s">
        <v>1124</v>
      </c>
    </row>
    <row r="155" spans="27:27" x14ac:dyDescent="0.35">
      <c r="AA155" s="115" t="s">
        <v>1125</v>
      </c>
    </row>
    <row r="156" spans="27:27" x14ac:dyDescent="0.35">
      <c r="AA156" s="115" t="s">
        <v>1126</v>
      </c>
    </row>
    <row r="157" spans="27:27" x14ac:dyDescent="0.35">
      <c r="AA157" s="115" t="s">
        <v>1127</v>
      </c>
    </row>
    <row r="158" spans="27:27" x14ac:dyDescent="0.35">
      <c r="AA158" s="115" t="s">
        <v>1128</v>
      </c>
    </row>
    <row r="159" spans="27:27" x14ac:dyDescent="0.35">
      <c r="AA159" s="115" t="s">
        <v>1129</v>
      </c>
    </row>
    <row r="160" spans="27:27" x14ac:dyDescent="0.35">
      <c r="AA160" s="115" t="s">
        <v>1130</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ckager Shell Object" dvAspect="DVASPECT_ICON" shapeId="4097" r:id="rId4">
          <objectPr defaultSize="0" r:id="rId5">
            <anchor moveWithCells="1">
              <from>
                <xdr:col>0</xdr:col>
                <xdr:colOff>0</xdr:colOff>
                <xdr:row>0</xdr:row>
                <xdr:rowOff>0</xdr:rowOff>
              </from>
              <to>
                <xdr:col>5</xdr:col>
                <xdr:colOff>12700</xdr:colOff>
                <xdr:row>2</xdr:row>
                <xdr:rowOff>152400</xdr:rowOff>
              </to>
            </anchor>
          </objectPr>
        </oleObject>
      </mc:Choice>
      <mc:Fallback>
        <oleObject progId="Packager Shell Object" dvAspect="DVASPECT_ICON" shapeId="4097" r:id="rId4"/>
      </mc:Fallback>
    </mc:AlternateContent>
    <mc:AlternateContent xmlns:mc="http://schemas.openxmlformats.org/markup-compatibility/2006">
      <mc:Choice Requires="x14">
        <oleObject progId="Packager Shell Object" dvAspect="DVASPECT_ICON" shapeId="4098" r:id="rId6">
          <objectPr defaultSize="0" r:id="rId7">
            <anchor moveWithCells="1">
              <from>
                <xdr:col>0</xdr:col>
                <xdr:colOff>0</xdr:colOff>
                <xdr:row>0</xdr:row>
                <xdr:rowOff>0</xdr:rowOff>
              </from>
              <to>
                <xdr:col>0</xdr:col>
                <xdr:colOff>577850</xdr:colOff>
                <xdr:row>2</xdr:row>
                <xdr:rowOff>152400</xdr:rowOff>
              </to>
            </anchor>
          </objectPr>
        </oleObject>
      </mc:Choice>
      <mc:Fallback>
        <oleObject progId="Packager Shell Object" dvAspect="DVASPECT_ICON" shapeId="4098" r:id="rId6"/>
      </mc:Fallback>
    </mc:AlternateContent>
    <mc:AlternateContent xmlns:mc="http://schemas.openxmlformats.org/markup-compatibility/2006">
      <mc:Choice Requires="x14">
        <oleObject progId="Packager Shell Object" dvAspect="DVASPECT_ICON" shapeId="4099" r:id="rId8">
          <objectPr defaultSize="0" r:id="rId9">
            <anchor moveWithCells="1">
              <from>
                <xdr:col>0</xdr:col>
                <xdr:colOff>0</xdr:colOff>
                <xdr:row>0</xdr:row>
                <xdr:rowOff>0</xdr:rowOff>
              </from>
              <to>
                <xdr:col>1</xdr:col>
                <xdr:colOff>419100</xdr:colOff>
                <xdr:row>2</xdr:row>
                <xdr:rowOff>152400</xdr:rowOff>
              </to>
            </anchor>
          </objectPr>
        </oleObject>
      </mc:Choice>
      <mc:Fallback>
        <oleObject progId="Packager Shell Object" dvAspect="DVASPECT_ICON" shapeId="4099"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W113"/>
  <sheetViews>
    <sheetView showGridLines="0" topLeftCell="A35" zoomScale="70" zoomScaleNormal="70" zoomScaleSheetLayoutView="70" workbookViewId="0">
      <selection activeCell="A30" sqref="A30"/>
    </sheetView>
  </sheetViews>
  <sheetFormatPr defaultColWidth="9.08984375" defaultRowHeight="14" x14ac:dyDescent="0.35"/>
  <cols>
    <col min="1" max="1" width="33.90625" style="10" customWidth="1" collapsed="1"/>
    <col min="2" max="2" width="46.08984375" style="10" customWidth="1" collapsed="1"/>
    <col min="3" max="3" width="44.90625" style="10" customWidth="1"/>
    <col min="4" max="4" width="21.6328125" style="10" customWidth="1" collapsed="1"/>
    <col min="5" max="5" width="21" style="10" customWidth="1"/>
    <col min="6" max="6" width="63.6328125" style="10" customWidth="1" collapsed="1"/>
    <col min="7" max="7" width="70.6328125" style="10" customWidth="1" collapsed="1"/>
    <col min="8" max="8" width="23.6328125" style="10" customWidth="1" collapsed="1"/>
    <col min="9" max="9" width="23.08984375" style="10" customWidth="1"/>
    <col min="10" max="10" width="62.08984375" style="10" customWidth="1" collapsed="1"/>
    <col min="11" max="11" width="21.90625" style="10" hidden="1" customWidth="1" collapsed="1"/>
    <col min="12" max="12" width="18.453125" style="10" hidden="1" customWidth="1" collapsed="1"/>
    <col min="13" max="13" width="27.6328125" style="10" hidden="1" customWidth="1" collapsed="1"/>
    <col min="14" max="14" width="36.90625" style="10" hidden="1" customWidth="1" collapsed="1"/>
    <col min="15" max="15" width="27.453125" style="10" hidden="1" customWidth="1" collapsed="1"/>
    <col min="16" max="16" width="33.90625" style="10" hidden="1" customWidth="1" collapsed="1"/>
    <col min="17" max="17" width="24.08984375" style="10" hidden="1" customWidth="1" collapsed="1"/>
    <col min="18" max="18" width="22.54296875" style="10" hidden="1" customWidth="1"/>
    <col min="19" max="19" width="30.453125" style="10" hidden="1" customWidth="1"/>
    <col min="20" max="20" width="32.453125" style="10" hidden="1" customWidth="1" collapsed="1"/>
    <col min="21" max="21" width="13.90625" style="10" hidden="1" customWidth="1" collapsed="1"/>
    <col min="22" max="22" width="6" style="10" hidden="1" customWidth="1" collapsed="1"/>
    <col min="23" max="23" width="7.90625" style="10" hidden="1" customWidth="1" collapsed="1"/>
    <col min="24" max="16384" width="9.08984375" style="10" collapsed="1"/>
  </cols>
  <sheetData>
    <row r="4" spans="1:9" ht="23" x14ac:dyDescent="0.35">
      <c r="A4" s="170" t="str">
        <f>IFERROR(VLOOKUP($B$10,Translation[],3,0),"")</f>
        <v>PRIORITIZED ABOVE ALLOCATION REQUEST</v>
      </c>
      <c r="B4" s="170"/>
      <c r="C4" s="170"/>
      <c r="D4" s="170"/>
      <c r="E4" s="170"/>
      <c r="F4" s="170"/>
      <c r="G4" s="170"/>
      <c r="H4" s="170"/>
      <c r="I4" s="34"/>
    </row>
    <row r="5" spans="1:9" ht="17.5" x14ac:dyDescent="0.35">
      <c r="A5" s="169"/>
      <c r="B5" s="169"/>
      <c r="C5" s="169"/>
      <c r="D5" s="169"/>
      <c r="E5" s="169"/>
      <c r="F5" s="169"/>
      <c r="G5" s="169"/>
      <c r="H5" s="169"/>
      <c r="I5" s="33"/>
    </row>
    <row r="6" spans="1:9" ht="15.5" x14ac:dyDescent="0.35">
      <c r="A6" s="173" t="s">
        <v>0</v>
      </c>
      <c r="B6" s="174"/>
    </row>
    <row r="7" spans="1:9" ht="15.5" x14ac:dyDescent="0.35">
      <c r="A7" s="171" t="s">
        <v>1</v>
      </c>
      <c r="B7" s="172"/>
    </row>
    <row r="8" spans="1:9" ht="15.5" x14ac:dyDescent="0.35">
      <c r="A8" s="175" t="s">
        <v>2</v>
      </c>
      <c r="B8" s="176"/>
    </row>
    <row r="10" spans="1:9" ht="18" x14ac:dyDescent="0.35">
      <c r="A10" s="11" t="str">
        <f>IFERROR(VLOOKUP($B$10,Translation[],2,0),"")</f>
        <v>Language</v>
      </c>
      <c r="B10" s="29" t="s">
        <v>3</v>
      </c>
      <c r="C10" s="39"/>
      <c r="D10" s="39"/>
    </row>
    <row r="12" spans="1:9" ht="18" x14ac:dyDescent="0.35">
      <c r="A12" s="177" t="str">
        <f>IFERROR(VLOOKUP($B$10,Translation[],5,0),"")</f>
        <v>SUMMARY INFORMATION</v>
      </c>
      <c r="B12" s="178"/>
      <c r="C12" s="178"/>
      <c r="D12" s="13"/>
      <c r="E12" s="13"/>
      <c r="F12" s="13"/>
      <c r="G12" s="13"/>
      <c r="H12" s="13"/>
      <c r="I12" s="13"/>
    </row>
    <row r="13" spans="1:9" ht="65.150000000000006" customHeight="1" x14ac:dyDescent="0.35">
      <c r="A13" s="14" t="str">
        <f>IFERROR(VLOOKUP($B$10,Translation[],6,0),"")</f>
        <v>Country or Group of Countries</v>
      </c>
      <c r="B13" s="179" t="str">
        <f>IF(ISBLANK(Modules!$B$3),Modules!$B$4,Modules!$B$3)</f>
        <v>Kazakhstan</v>
      </c>
      <c r="C13" s="180"/>
      <c r="D13" s="39"/>
      <c r="E13" s="39"/>
      <c r="F13" s="39"/>
      <c r="G13" s="39"/>
    </row>
    <row r="14" spans="1:9" ht="30.65" customHeight="1" x14ac:dyDescent="0.35">
      <c r="A14" s="14" t="str">
        <f>IFERROR(VLOOKUP($B$10,Translation[],7,0),"")</f>
        <v>Component(s)</v>
      </c>
      <c r="B14" s="181" t="str">
        <f>(Modules!$D$3)</f>
        <v>Tuberculosis</v>
      </c>
      <c r="C14" s="182"/>
      <c r="D14" s="46"/>
      <c r="E14" s="46"/>
      <c r="F14" s="46"/>
      <c r="G14" s="46"/>
    </row>
    <row r="15" spans="1:9" ht="47.25" customHeight="1" x14ac:dyDescent="0.35">
      <c r="A15" s="72" t="str">
        <f>IFERROR(VLOOKUP($B$10,Translation[#Data],8,0),"")</f>
        <v>Funding request this request relates to</v>
      </c>
      <c r="B15" s="181" t="str">
        <f>(Modules!$D$2)</f>
        <v>FR1049-KAZ-T</v>
      </c>
      <c r="C15" s="182"/>
      <c r="D15" s="46"/>
      <c r="E15" s="46"/>
      <c r="F15" s="46"/>
      <c r="G15" s="46"/>
    </row>
    <row r="16" spans="1:9" ht="30" customHeight="1" x14ac:dyDescent="0.35">
      <c r="A16" s="14" t="str">
        <f>IFERROR(VLOOKUP($B$10,Translation[],9,0),"")</f>
        <v>Currency</v>
      </c>
      <c r="B16" s="100" t="str">
        <f>Modules!$D$4</f>
        <v>USD</v>
      </c>
      <c r="C16" s="100" t="s">
        <v>920</v>
      </c>
      <c r="D16" s="38"/>
      <c r="E16" s="38"/>
      <c r="F16" s="38"/>
      <c r="G16" s="38"/>
    </row>
    <row r="17" spans="1:23" ht="60.65" customHeight="1" x14ac:dyDescent="0.35">
      <c r="A17" s="15" t="str">
        <f>IFERROR(VLOOKUP($B$10,Translation[],33,0),"")</f>
        <v>Total PAAR current request</v>
      </c>
      <c r="B17" s="101">
        <f>D111</f>
        <v>1374194</v>
      </c>
      <c r="C17" s="101">
        <f>E111</f>
        <v>1374194</v>
      </c>
      <c r="D17" s="38"/>
      <c r="E17" s="38"/>
      <c r="F17" s="38"/>
      <c r="G17" s="38"/>
    </row>
    <row r="18" spans="1:23" ht="56.4" customHeight="1" x14ac:dyDescent="0.35">
      <c r="A18" s="15" t="str">
        <f>IFERROR(VLOOKUP($B$10,Translation[],34,0),"")</f>
        <v>TRP recommended amount current request</v>
      </c>
      <c r="B18" s="101">
        <f>M111</f>
        <v>0</v>
      </c>
      <c r="C18" s="101">
        <f>I111</f>
        <v>0</v>
      </c>
      <c r="D18" s="37"/>
      <c r="E18" s="37"/>
      <c r="F18" s="37"/>
      <c r="G18" s="37"/>
    </row>
    <row r="19" spans="1:23" ht="69.650000000000006" customHeight="1" x14ac:dyDescent="0.35">
      <c r="A19" s="74" t="str">
        <f>IFERROR(VLOOKUP($B$10,Translation[],35,0),"")</f>
        <v>Total remaining UQD and new recommended amount</v>
      </c>
      <c r="B19" s="101">
        <f>IF(Modules!$D$4="EUR",B18+'Previously-approved PAAR'!B3/$T$112,B18+'Previously-approved PAAR'!B3)</f>
        <v>1836144</v>
      </c>
      <c r="C19" s="101">
        <f>C18+'Previously-approved PAAR'!B3</f>
        <v>1836144</v>
      </c>
    </row>
    <row r="20" spans="1:23" x14ac:dyDescent="0.35">
      <c r="A20" s="75"/>
      <c r="J20" s="10" t="s">
        <v>919</v>
      </c>
    </row>
    <row r="21" spans="1:23" ht="18" x14ac:dyDescent="0.35">
      <c r="A21" s="165" t="str">
        <f>IFERROR(VLOOKUP($B$10,Translation[],11,0),"")</f>
        <v>CONTEXTUAL INFORMATION</v>
      </c>
      <c r="B21" s="166"/>
      <c r="C21" s="166"/>
      <c r="D21" s="166"/>
      <c r="E21" s="166"/>
      <c r="F21" s="166"/>
      <c r="G21" s="166"/>
      <c r="H21" s="166"/>
      <c r="I21" s="166"/>
      <c r="J21" s="166"/>
    </row>
    <row r="22" spans="1:23" ht="130.4" customHeight="1" x14ac:dyDescent="0.35">
      <c r="A22" s="183" t="str">
        <f>IFERROR(VLOOKUP($B$10,Translation[],12,0),"")</f>
        <v>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For additional space, the applicant can expand the row height for a bigger box to include rationale</v>
      </c>
      <c r="B22" s="184"/>
      <c r="C22" s="184"/>
      <c r="D22" s="184"/>
      <c r="E22" s="184"/>
      <c r="F22" s="184"/>
      <c r="G22" s="184"/>
      <c r="H22" s="184"/>
      <c r="I22" s="184"/>
      <c r="J22" s="184"/>
    </row>
    <row r="23" spans="1:23" ht="131.25" customHeight="1" x14ac:dyDescent="0.35">
      <c r="A23" s="163" t="s">
        <v>1488</v>
      </c>
      <c r="B23" s="164"/>
      <c r="C23" s="164"/>
      <c r="D23" s="164"/>
      <c r="E23" s="164"/>
      <c r="F23" s="164"/>
      <c r="G23" s="164"/>
      <c r="H23" s="164"/>
      <c r="I23" s="164"/>
      <c r="J23" s="164"/>
    </row>
    <row r="24" spans="1:23" ht="150" hidden="1" customHeight="1" x14ac:dyDescent="0.35">
      <c r="A24" s="77"/>
      <c r="B24" s="77"/>
      <c r="C24" s="77"/>
      <c r="D24" s="77"/>
      <c r="E24" s="77"/>
      <c r="F24" s="77"/>
      <c r="G24" s="77"/>
      <c r="H24" s="77"/>
      <c r="I24" s="41"/>
      <c r="J24" s="41"/>
    </row>
    <row r="25" spans="1:23" ht="150" hidden="1" customHeight="1" x14ac:dyDescent="0.35">
      <c r="A25" s="76"/>
      <c r="B25" s="76"/>
      <c r="C25" s="76"/>
      <c r="D25" s="76"/>
      <c r="E25" s="76"/>
      <c r="F25" s="76"/>
      <c r="G25" s="76"/>
      <c r="H25" s="76"/>
      <c r="I25" s="41"/>
      <c r="J25" s="41"/>
    </row>
    <row r="27" spans="1:23" ht="18" x14ac:dyDescent="0.35">
      <c r="A27" s="165" t="str">
        <f>IFERROR(VLOOKUP($B$10,Translation[],13,0),"")</f>
        <v>PRIORITIZED ABOVE ALLOCATION REQUEST - UPDATE (PAAR UPDATE)</v>
      </c>
      <c r="B27" s="166"/>
      <c r="C27" s="166"/>
      <c r="D27" s="166"/>
      <c r="E27" s="166"/>
      <c r="F27" s="166"/>
      <c r="G27" s="166"/>
      <c r="H27" s="166"/>
      <c r="I27" s="166"/>
      <c r="J27" s="166"/>
    </row>
    <row r="28" spans="1:23" ht="230.15" customHeight="1" x14ac:dyDescent="0.35">
      <c r="A28" s="167" t="str">
        <f>IFERROR(VLOOKUP($B$10,Translation[],14,0),"")</f>
        <v>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v>
      </c>
      <c r="B28" s="168"/>
      <c r="C28" s="168"/>
      <c r="D28" s="168"/>
      <c r="E28" s="168"/>
      <c r="F28" s="168"/>
      <c r="G28" s="168"/>
      <c r="H28" s="168"/>
      <c r="I28" s="168"/>
      <c r="J28" s="168"/>
    </row>
    <row r="29" spans="1:23" ht="42" x14ac:dyDescent="0.35">
      <c r="A29" s="16" t="str">
        <f>IFERROR(VLOOKUP($B$10,Translation[],15,0),"")</f>
        <v>Applicant Priority Rating</v>
      </c>
      <c r="B29" s="16" t="str">
        <f>IFERROR(VLOOKUP($B$10,Translation[],16,0),"")</f>
        <v>Module</v>
      </c>
      <c r="C29" s="16" t="str">
        <f>IFERROR(VLOOKUP($B$10,Translation[],17,0),"")</f>
        <v xml:space="preserve">Intervention </v>
      </c>
      <c r="D29" s="16" t="str">
        <f>IFERROR(VLOOKUP($B$10,Translation[],18,0),"")</f>
        <v>Amount Requested (allocation currency)</v>
      </c>
      <c r="E29" s="16" t="str">
        <f>IFERROR(VLOOKUP($B$10,Translation[],19,0),"")</f>
        <v>Amount Requested (USD)</v>
      </c>
      <c r="F29" s="16" t="str">
        <f>IFERROR(VLOOKUP($B$10,Translation[],20,0),"")</f>
        <v>Brief Rationale, including expected outcomes and impact (explain how the request builds on the allocation). 
Indicate the relevant population for HIV modules.</v>
      </c>
      <c r="G29" s="99" t="str">
        <f>IFERROR(VLOOKUP($B$10,Translation[],24,0),"")</f>
        <v>Translated Brief Rationale (filled in by A2F only)</v>
      </c>
      <c r="H29" s="68" t="str">
        <f>IFERROR(VLOOKUP($B$10,Translation[],23,0),"")</f>
        <v>TRP Priority Rating</v>
      </c>
      <c r="I29" s="68" t="str">
        <f>IFERROR(VLOOKUP($B$10,Translation[],22,0),"")</f>
        <v>TRP amount approved (USD)</v>
      </c>
      <c r="J29" s="68" t="str">
        <f>IFERROR(VLOOKUP($B$10,Translation[],26,0),"")</f>
        <v>TRP Notes (only mandatory for "Not Recommended", partially recommended, or when priority rating differs)</v>
      </c>
      <c r="K29" s="36" t="s">
        <v>802</v>
      </c>
      <c r="L29" s="36" t="s">
        <v>799</v>
      </c>
      <c r="M29" s="36" t="str">
        <f>IFERROR(VLOOKUP($B$10,Translation[],21,0),"")</f>
        <v>TRP recommended amount (allocation currency)</v>
      </c>
      <c r="N29" s="36" t="s">
        <v>801</v>
      </c>
      <c r="O29" s="36" t="s">
        <v>800</v>
      </c>
      <c r="P29" s="79" t="s">
        <v>866</v>
      </c>
      <c r="Q29" s="78" t="s">
        <v>865</v>
      </c>
      <c r="R29" s="10" t="s">
        <v>864</v>
      </c>
      <c r="S29" s="10" t="s">
        <v>863</v>
      </c>
    </row>
    <row r="30" spans="1:23" ht="39.9" customHeight="1" x14ac:dyDescent="0.35">
      <c r="A30" s="85" t="s">
        <v>803</v>
      </c>
      <c r="B30" s="71" t="s">
        <v>1153</v>
      </c>
      <c r="C30" s="71" t="s">
        <v>456</v>
      </c>
      <c r="D30" s="103">
        <f>'Заявка PAAR СКК- Секв+БК+2G'!Q31</f>
        <v>385493</v>
      </c>
      <c r="E30" s="104">
        <f>IF(IF(Modules!$D$4="EUR",D30*($T$112),$D30)=0,"",IF(Modules!$D$4="EUR",D30*($T$112),$D30))</f>
        <v>385493</v>
      </c>
      <c r="F30" s="31" t="s">
        <v>1448</v>
      </c>
      <c r="G30" s="69"/>
      <c r="H30" s="30"/>
      <c r="I30" s="102"/>
      <c r="J30" s="30"/>
      <c r="K30" s="70" t="str">
        <f>IFERROR(VLOOKUP(B30,Modules!C:D,2,0),"")</f>
        <v>MCI-00010</v>
      </c>
      <c r="L30" s="69" t="str">
        <f>IFERROR(VLOOKUP($C30,Interventions!E:F,2,0),IFERROR(VLOOKUP($C30,Interventions!I:L,4,0),IFERROR(VLOOKUP($C30,Interventions!J:L,3,0),"")))</f>
        <v>MCI-00140</v>
      </c>
      <c r="M30" s="102" t="str">
        <f>IF(IF(Modules!$D$4="EUR",I30/($T$112),$I30)=0,"",IF(Modules!$D$4="EUR",I30/($T$112),$I30))</f>
        <v/>
      </c>
      <c r="N30" s="30" t="str">
        <f>CLEAN(IFERROR(VLOOKUP($C30,Interventions!$E$1:$K$407,7,0),""))</f>
        <v>ActivityArea_101</v>
      </c>
      <c r="O30" s="30" t="str">
        <f>CLEAN(IF(C30="","",CONCATENATE(Modules!$B$8,"/",'PAAR UPDATE'!N30,R30)))</f>
        <v>Geography_130/FundingOpportunity_14//ActivityArea_1011</v>
      </c>
      <c r="P30" s="10" t="str">
        <f>IFERROR(INDEX('Dropdown Data'!$D$33:$D$35,MATCH(A30,'Dropdown Data'!$B$33:$B$35,0)),IFERROR(INDEX('Dropdown Data'!$D$33:$D$35,MATCH(A30,'Dropdown Data'!$C$33:$C$35,0)),A30))</f>
        <v>High</v>
      </c>
      <c r="Q30" s="10">
        <f>IFERROR(INDEX('Dropdown Data'!$D$33:$D$36,MATCH(H30,'Dropdown Data'!$B$33:$B$36,0)),IFERROR(INDEX('Dropdown Data'!$D$33:$D$36,MATCH(H30,'Dropdown Data'!$C$33:$C$36,0)),H30))</f>
        <v>0</v>
      </c>
      <c r="R30" s="10">
        <v>1</v>
      </c>
      <c r="S30" s="10" t="b">
        <f t="shared" ref="S30:S61" si="0">IF(AND($B$17&gt;0,NOT(ISBLANK(E30)),(OR(ISBLANK(I30),ISBLANK(H30)))),TRUE,FALSE)</f>
        <v>1</v>
      </c>
      <c r="T30" s="10">
        <f t="shared" ref="T30:T61" si="1">COUNTBLANK(A30:J30)</f>
        <v>4</v>
      </c>
      <c r="U30" s="10" t="str">
        <f>IFERROR(VLOOKUP(B30,Modules!$E$11:$K$25,6,0),IFERROR(VLOOKUP(B30,Modules!$F$11:$K$25,5,0),VLOOKUP(B30,Modules!$G$11:$K$25,4,0)))</f>
        <v>MCI-00010</v>
      </c>
      <c r="V30" s="10">
        <f>MATCH(U30,Interventions!C:C,0)</f>
        <v>31</v>
      </c>
      <c r="W30" s="10">
        <f>MATCH(U30,Interventions!C:C,1)</f>
        <v>40</v>
      </c>
    </row>
    <row r="31" spans="1:23" ht="39.9" customHeight="1" x14ac:dyDescent="0.35">
      <c r="A31" s="85" t="s">
        <v>804</v>
      </c>
      <c r="B31" s="71" t="s">
        <v>1153</v>
      </c>
      <c r="C31" s="71" t="s">
        <v>456</v>
      </c>
      <c r="D31" s="103">
        <f>'Заявка PAAR СКК- Секв+БК+2G'!Q45</f>
        <v>301051</v>
      </c>
      <c r="E31" s="104">
        <f>IF(IF(Modules!$D$4="EUR",D31*($T$112),$D31)=0,"",IF(Modules!$D$4="EUR",D31*($T$112),$D31))</f>
        <v>301051</v>
      </c>
      <c r="F31" s="69" t="s">
        <v>1472</v>
      </c>
      <c r="G31" s="31"/>
      <c r="H31" s="30"/>
      <c r="I31" s="102"/>
      <c r="J31" s="30"/>
      <c r="K31" s="70" t="str">
        <f>IFERROR(VLOOKUP(B31,Modules!C:D,2,0),"")</f>
        <v>MCI-00010</v>
      </c>
      <c r="L31" s="69" t="str">
        <f>IFERROR(VLOOKUP($C31,Interventions!E:F,2,0),IFERROR(VLOOKUP($C31,Interventions!I:L,4,0),IFERROR(VLOOKUP($C31,Interventions!J:L,3,0),"")))</f>
        <v>MCI-00140</v>
      </c>
      <c r="M31" s="102" t="str">
        <f>IF(IF(Modules!$D$4="EUR",I31/($T$112),$I31)=0,"",IF(Modules!$D$4="EUR",I31/($T$112),$I31))</f>
        <v/>
      </c>
      <c r="N31" s="30" t="str">
        <f>CLEAN(IFERROR(VLOOKUP($C31,Interventions!$E$1:$K$407,7,0),""))</f>
        <v>ActivityArea_101</v>
      </c>
      <c r="O31" s="30" t="str">
        <f>CLEAN(IF(C31="","",CONCATENATE(Modules!$B$8,"/",'PAAR UPDATE'!N31,R31)))</f>
        <v>Geography_130/FundingOpportunity_14//ActivityArea_1012</v>
      </c>
      <c r="P31" s="10" t="str">
        <f>IFERROR(INDEX('Dropdown Data'!$D$33:$D$35,MATCH(A31,'Dropdown Data'!$B$33:$B$35,0)),IFERROR(INDEX('Dropdown Data'!$D$33:$D$35,MATCH(A31,'Dropdown Data'!$C$33:$C$35,0)),A31))</f>
        <v>Medium</v>
      </c>
      <c r="Q31" s="10">
        <f>IFERROR(INDEX('Dropdown Data'!$D$33:$D$36,MATCH(H31,'Dropdown Data'!$B$33:$B$36,0)),IFERROR(INDEX('Dropdown Data'!$D$33:$D$36,MATCH(H31,'Dropdown Data'!$C$33:$C$36,0)),H31))</f>
        <v>0</v>
      </c>
      <c r="R31" s="10">
        <v>2</v>
      </c>
      <c r="S31" s="10" t="b">
        <f t="shared" si="0"/>
        <v>1</v>
      </c>
      <c r="T31" s="10">
        <f t="shared" si="1"/>
        <v>4</v>
      </c>
      <c r="U31" s="10" t="str">
        <f>IFERROR(VLOOKUP(B31,Modules!$E$11:$K$25,6,0),IFERROR(VLOOKUP(B31,Modules!$F$11:$K$25,5,0),VLOOKUP(B31,Modules!$G$11:$K$25,4,0)))</f>
        <v>MCI-00010</v>
      </c>
      <c r="V31" s="10">
        <f>MATCH(U31,Interventions!C:C,0)</f>
        <v>31</v>
      </c>
      <c r="W31" s="10">
        <f>MATCH(U31,Interventions!C:C,1)</f>
        <v>40</v>
      </c>
    </row>
    <row r="32" spans="1:23" ht="39.9" customHeight="1" x14ac:dyDescent="0.35">
      <c r="A32" s="85" t="s">
        <v>804</v>
      </c>
      <c r="B32" s="71" t="s">
        <v>1153</v>
      </c>
      <c r="C32" s="71" t="s">
        <v>456</v>
      </c>
      <c r="D32" s="103">
        <f>'Заявка PAAR СКК- Секв+БК+2G'!Q51</f>
        <v>574750</v>
      </c>
      <c r="E32" s="104">
        <f>IF(IF(Modules!$D$4="EUR",D32*($T$112),$D32)=0,"",IF(Modules!$D$4="EUR",D32*($T$112),$D32))</f>
        <v>574750</v>
      </c>
      <c r="F32" s="31" t="s">
        <v>1487</v>
      </c>
      <c r="G32" s="31"/>
      <c r="H32" s="30"/>
      <c r="I32" s="102"/>
      <c r="J32" s="30"/>
      <c r="K32" s="70" t="str">
        <f>IFERROR(VLOOKUP(B32,Modules!C:D,2,0),"")</f>
        <v>MCI-00010</v>
      </c>
      <c r="L32" s="69" t="str">
        <f>IFERROR(VLOOKUP($C32,Interventions!E:F,2,0),IFERROR(VLOOKUP($C32,Interventions!I:L,4,0),IFERROR(VLOOKUP($C32,Interventions!J:L,3,0),"")))</f>
        <v>MCI-00140</v>
      </c>
      <c r="M32" s="102" t="str">
        <f>IF(IF(Modules!$D$4="EUR",I32/($T$112),$I32)=0,"",IF(Modules!$D$4="EUR",I32/($T$112),$I32))</f>
        <v/>
      </c>
      <c r="N32" s="30" t="str">
        <f>CLEAN(IFERROR(VLOOKUP($C32,Interventions!$E$1:$K$407,7,0),""))</f>
        <v>ActivityArea_101</v>
      </c>
      <c r="O32" s="30" t="str">
        <f>CLEAN(IF(C32="","",CONCATENATE(Modules!$B$8,"/",'PAAR UPDATE'!N32,R32)))</f>
        <v>Geography_130/FundingOpportunity_14//ActivityArea_1013</v>
      </c>
      <c r="P32" s="10" t="str">
        <f>IFERROR(INDEX('Dropdown Data'!$D$33:$D$35,MATCH(A32,'Dropdown Data'!$B$33:$B$35,0)),IFERROR(INDEX('Dropdown Data'!$D$33:$D$35,MATCH(A32,'Dropdown Data'!$C$33:$C$35,0)),A32))</f>
        <v>Medium</v>
      </c>
      <c r="Q32" s="10">
        <f>IFERROR(INDEX('Dropdown Data'!$D$33:$D$36,MATCH(H32,'Dropdown Data'!$B$33:$B$36,0)),IFERROR(INDEX('Dropdown Data'!$D$33:$D$36,MATCH(H32,'Dropdown Data'!$C$33:$C$36,0)),H32))</f>
        <v>0</v>
      </c>
      <c r="R32" s="10">
        <v>3</v>
      </c>
      <c r="S32" s="10" t="b">
        <f t="shared" si="0"/>
        <v>1</v>
      </c>
      <c r="T32" s="10">
        <f t="shared" si="1"/>
        <v>4</v>
      </c>
      <c r="U32" s="10" t="str">
        <f>IFERROR(VLOOKUP(B32,Modules!$E$11:$K$25,6,0),IFERROR(VLOOKUP(B32,Modules!$F$11:$K$25,5,0),VLOOKUP(B32,Modules!$G$11:$K$25,4,0)))</f>
        <v>MCI-00010</v>
      </c>
      <c r="V32" s="10">
        <f>MATCH(U32,Interventions!C:C,0)</f>
        <v>31</v>
      </c>
      <c r="W32" s="10">
        <f>MATCH(U32,Interventions!C:C,1)</f>
        <v>40</v>
      </c>
    </row>
    <row r="33" spans="1:23" ht="39.9" customHeight="1" x14ac:dyDescent="0.35">
      <c r="A33" s="85" t="s">
        <v>804</v>
      </c>
      <c r="B33" s="71" t="s">
        <v>1153</v>
      </c>
      <c r="C33" s="71" t="s">
        <v>456</v>
      </c>
      <c r="D33" s="103">
        <f>'Заявка PAAR СКК- Секв+БК+2G'!Q75</f>
        <v>112900</v>
      </c>
      <c r="E33" s="104">
        <f>IF(IF(Modules!$D$4="EUR",D33*($T$112),$D33)=0,"",IF(Modules!$D$4="EUR",D33*($T$112),$D33))</f>
        <v>112900</v>
      </c>
      <c r="F33" s="31" t="s">
        <v>1486</v>
      </c>
      <c r="G33" s="31"/>
      <c r="H33" s="30"/>
      <c r="I33" s="102"/>
      <c r="J33" s="30"/>
      <c r="K33" s="70" t="str">
        <f>IFERROR(VLOOKUP(B33,Modules!C:D,2,0),"")</f>
        <v>MCI-00010</v>
      </c>
      <c r="L33" s="69" t="str">
        <f>IFERROR(VLOOKUP($C33,Interventions!E:F,2,0),IFERROR(VLOOKUP($C33,Interventions!I:L,4,0),IFERROR(VLOOKUP($C33,Interventions!J:L,3,0),"")))</f>
        <v>MCI-00140</v>
      </c>
      <c r="M33" s="102" t="str">
        <f>IF(IF(Modules!$D$4="EUR",I33/($T$112),$I33)=0,"",IF(Modules!$D$4="EUR",I33/($T$112),$I33))</f>
        <v/>
      </c>
      <c r="N33" s="30" t="str">
        <f>CLEAN(IFERROR(VLOOKUP($C33,Interventions!$E$1:$K$407,7,0),""))</f>
        <v>ActivityArea_101</v>
      </c>
      <c r="O33" s="30" t="str">
        <f>CLEAN(IF(C33="","",CONCATENATE(Modules!$B$8,"/",'PAAR UPDATE'!N33,R33)))</f>
        <v>Geography_130/FundingOpportunity_14//ActivityArea_1014</v>
      </c>
      <c r="P33" s="10" t="str">
        <f>IFERROR(INDEX('Dropdown Data'!$D$33:$D$35,MATCH(A33,'Dropdown Data'!$B$33:$B$35,0)),IFERROR(INDEX('Dropdown Data'!$D$33:$D$35,MATCH(A33,'Dropdown Data'!$C$33:$C$35,0)),A33))</f>
        <v>Medium</v>
      </c>
      <c r="Q33" s="10">
        <f>IFERROR(INDEX('Dropdown Data'!$D$33:$D$36,MATCH(H33,'Dropdown Data'!$B$33:$B$36,0)),IFERROR(INDEX('Dropdown Data'!$D$33:$D$36,MATCH(H33,'Dropdown Data'!$C$33:$C$36,0)),H33))</f>
        <v>0</v>
      </c>
      <c r="R33" s="10">
        <v>4</v>
      </c>
      <c r="S33" s="10" t="b">
        <f t="shared" si="0"/>
        <v>1</v>
      </c>
      <c r="T33" s="10">
        <f t="shared" si="1"/>
        <v>4</v>
      </c>
      <c r="U33" s="10" t="str">
        <f>IFERROR(VLOOKUP(B33,Modules!$E$11:$K$25,6,0),IFERROR(VLOOKUP(B33,Modules!$F$11:$K$25,5,0),VLOOKUP(B33,Modules!$G$11:$K$25,4,0)))</f>
        <v>MCI-00010</v>
      </c>
      <c r="V33" s="10">
        <f>MATCH(U33,Interventions!C:C,0)</f>
        <v>31</v>
      </c>
      <c r="W33" s="10">
        <f>MATCH(U33,Interventions!C:C,1)</f>
        <v>40</v>
      </c>
    </row>
    <row r="34" spans="1:23" ht="39.9" customHeight="1" x14ac:dyDescent="0.35">
      <c r="A34" s="30"/>
      <c r="B34" s="71"/>
      <c r="C34" s="71"/>
      <c r="D34" s="103"/>
      <c r="E34" s="104" t="str">
        <f>IF(IF(Modules!$D$4="EUR",D34*($T$112),$D34)=0,"",IF(Modules!$D$4="EUR",D34*($T$112),$D34))</f>
        <v/>
      </c>
      <c r="F34" s="31"/>
      <c r="G34" s="31"/>
      <c r="H34" s="30"/>
      <c r="I34" s="102"/>
      <c r="J34" s="30"/>
      <c r="K34" s="70" t="str">
        <f>IFERROR(VLOOKUP(B34,Modules!C:D,2,0),"")</f>
        <v/>
      </c>
      <c r="L34" s="69" t="str">
        <f>IFERROR(VLOOKUP($C34,Interventions!E:F,2,0),IFERROR(VLOOKUP($C34,Interventions!I:L,4,0),IFERROR(VLOOKUP($C34,Interventions!J:L,3,0),"")))</f>
        <v/>
      </c>
      <c r="M34" s="102" t="str">
        <f>IF(IF(Modules!$D$4="EUR",I34/($T$112),$I34)=0,"",IF(Modules!$D$4="EUR",I34/($T$112),$I34))</f>
        <v/>
      </c>
      <c r="N34" s="30" t="str">
        <f>CLEAN(IFERROR(VLOOKUP($C34,Interventions!$E$1:$K$407,7,0),""))</f>
        <v/>
      </c>
      <c r="O34" s="30" t="str">
        <f>CLEAN(IF(C34="","",CONCATENATE(Modules!$B$8,"/",'PAAR UPDATE'!N34,R34)))</f>
        <v/>
      </c>
      <c r="P34" s="10">
        <f>IFERROR(INDEX('Dropdown Data'!$D$33:$D$35,MATCH(A34,'Dropdown Data'!$B$33:$B$35,0)),IFERROR(INDEX('Dropdown Data'!$D$33:$D$35,MATCH(A34,'Dropdown Data'!$C$33:$C$35,0)),A34))</f>
        <v>0</v>
      </c>
      <c r="Q34" s="10">
        <f>IFERROR(INDEX('Dropdown Data'!$D$33:$D$36,MATCH(H34,'Dropdown Data'!$B$33:$B$36,0)),IFERROR(INDEX('Dropdown Data'!$D$33:$D$36,MATCH(H34,'Dropdown Data'!$C$33:$C$36,0)),H34))</f>
        <v>0</v>
      </c>
      <c r="R34" s="10">
        <v>5</v>
      </c>
      <c r="S34" s="10" t="b">
        <f t="shared" si="0"/>
        <v>1</v>
      </c>
      <c r="T34" s="10">
        <f t="shared" si="1"/>
        <v>10</v>
      </c>
      <c r="U34" s="10" t="e">
        <f>IFERROR(VLOOKUP(B34,Modules!$E$11:$K$25,6,0),IFERROR(VLOOKUP(B34,Modules!$F$11:$K$25,5,0),VLOOKUP(B34,Modules!$G$11:$K$25,4,0)))</f>
        <v>#N/A</v>
      </c>
      <c r="V34" s="10" t="e">
        <f>MATCH(U34,Interventions!C:C,0)</f>
        <v>#N/A</v>
      </c>
      <c r="W34" s="10" t="e">
        <f>MATCH(U34,Interventions!C:C,1)</f>
        <v>#N/A</v>
      </c>
    </row>
    <row r="35" spans="1:23" ht="39.9" customHeight="1" x14ac:dyDescent="0.35">
      <c r="A35" s="30"/>
      <c r="B35" s="71"/>
      <c r="C35" s="71"/>
      <c r="D35" s="103"/>
      <c r="E35" s="104" t="str">
        <f>IF(IF(Modules!$D$4="EUR",D35*($T$112),$D35)=0,"",IF(Modules!$D$4="EUR",D35*($T$112),$D35))</f>
        <v/>
      </c>
      <c r="F35" s="31"/>
      <c r="G35" s="31"/>
      <c r="H35" s="30"/>
      <c r="I35" s="102"/>
      <c r="J35" s="30"/>
      <c r="K35" s="70" t="str">
        <f>IFERROR(VLOOKUP(B35,Modules!C:D,2,0),"")</f>
        <v/>
      </c>
      <c r="L35" s="69" t="str">
        <f>IFERROR(VLOOKUP($C35,Interventions!E:F,2,0),IFERROR(VLOOKUP($C35,Interventions!I:L,4,0),IFERROR(VLOOKUP($C35,Interventions!J:L,3,0),"")))</f>
        <v/>
      </c>
      <c r="M35" s="102" t="str">
        <f>IF(IF(Modules!$D$4="EUR",I35/($T$112),$I35)=0,"",IF(Modules!$D$4="EUR",I35/($T$112),$I35))</f>
        <v/>
      </c>
      <c r="N35" s="30" t="str">
        <f>CLEAN(IFERROR(VLOOKUP($C35,Interventions!$E$1:$K$407,7,0),""))</f>
        <v/>
      </c>
      <c r="O35" s="30" t="str">
        <f>CLEAN(IF(C35="","",CONCATENATE(Modules!$B$8,"/",'PAAR UPDATE'!N35,R35)))</f>
        <v/>
      </c>
      <c r="P35" s="10">
        <f>IFERROR(INDEX('Dropdown Data'!$D$33:$D$35,MATCH(A35,'Dropdown Data'!$B$33:$B$35,0)),IFERROR(INDEX('Dropdown Data'!$D$33:$D$35,MATCH(A35,'Dropdown Data'!$C$33:$C$35,0)),A35))</f>
        <v>0</v>
      </c>
      <c r="Q35" s="10">
        <f>IFERROR(INDEX('Dropdown Data'!$D$33:$D$36,MATCH(H35,'Dropdown Data'!$B$33:$B$36,0)),IFERROR(INDEX('Dropdown Data'!$D$33:$D$36,MATCH(H35,'Dropdown Data'!$C$33:$C$36,0)),H35))</f>
        <v>0</v>
      </c>
      <c r="R35" s="10">
        <v>6</v>
      </c>
      <c r="S35" s="10" t="b">
        <f t="shared" si="0"/>
        <v>1</v>
      </c>
      <c r="T35" s="10">
        <f t="shared" si="1"/>
        <v>10</v>
      </c>
      <c r="U35" s="10" t="e">
        <f>IFERROR(VLOOKUP(B35,Modules!$E$11:$K$25,6,0),IFERROR(VLOOKUP(B35,Modules!$F$11:$K$25,5,0),VLOOKUP(B35,Modules!$G$11:$K$25,4,0)))</f>
        <v>#N/A</v>
      </c>
      <c r="V35" s="10" t="e">
        <f>MATCH(U35,Interventions!C:C,0)</f>
        <v>#N/A</v>
      </c>
      <c r="W35" s="10" t="e">
        <f>MATCH(U35,Interventions!C:C,1)</f>
        <v>#N/A</v>
      </c>
    </row>
    <row r="36" spans="1:23" ht="39.9" customHeight="1" x14ac:dyDescent="0.35">
      <c r="A36" s="30"/>
      <c r="B36" s="71"/>
      <c r="C36" s="71"/>
      <c r="D36" s="103"/>
      <c r="E36" s="104" t="str">
        <f>IF(IF(Modules!$D$4="EUR",D36*($T$112),$D36)=0,"",IF(Modules!$D$4="EUR",D36*($T$112),$D36))</f>
        <v/>
      </c>
      <c r="F36" s="31"/>
      <c r="G36" s="31"/>
      <c r="H36" s="30"/>
      <c r="I36" s="102"/>
      <c r="J36" s="30"/>
      <c r="K36" s="70" t="str">
        <f>IFERROR(VLOOKUP(B36,Modules!C:D,2,0),"")</f>
        <v/>
      </c>
      <c r="L36" s="69" t="str">
        <f>IFERROR(VLOOKUP($C36,Interventions!E:F,2,0),IFERROR(VLOOKUP($C36,Interventions!I:L,4,0),IFERROR(VLOOKUP($C36,Interventions!J:L,3,0),"")))</f>
        <v/>
      </c>
      <c r="M36" s="102" t="str">
        <f>IF(IF(Modules!$D$4="EUR",I36/($T$112),$I36)=0,"",IF(Modules!$D$4="EUR",I36/($T$112),$I36))</f>
        <v/>
      </c>
      <c r="N36" s="30" t="str">
        <f>CLEAN(IFERROR(VLOOKUP($C36,Interventions!$E$1:$K$407,7,0),""))</f>
        <v/>
      </c>
      <c r="O36" s="30" t="str">
        <f>CLEAN(IF(C36="","",CONCATENATE(Modules!$B$8,"/",'PAAR UPDATE'!N36,R36)))</f>
        <v/>
      </c>
      <c r="P36" s="10">
        <f>IFERROR(INDEX('Dropdown Data'!$D$33:$D$35,MATCH(A36,'Dropdown Data'!$B$33:$B$35,0)),IFERROR(INDEX('Dropdown Data'!$D$33:$D$35,MATCH(A36,'Dropdown Data'!$C$33:$C$35,0)),A36))</f>
        <v>0</v>
      </c>
      <c r="Q36" s="10">
        <f>IFERROR(INDEX('Dropdown Data'!$D$33:$D$36,MATCH(H36,'Dropdown Data'!$B$33:$B$36,0)),IFERROR(INDEX('Dropdown Data'!$D$33:$D$36,MATCH(H36,'Dropdown Data'!$C$33:$C$36,0)),H36))</f>
        <v>0</v>
      </c>
      <c r="R36" s="10">
        <v>7</v>
      </c>
      <c r="S36" s="10" t="b">
        <f t="shared" si="0"/>
        <v>1</v>
      </c>
      <c r="T36" s="10">
        <f t="shared" si="1"/>
        <v>10</v>
      </c>
      <c r="U36" s="10" t="e">
        <f>IFERROR(VLOOKUP(B36,Modules!$E$11:$K$25,6,0),IFERROR(VLOOKUP(B36,Modules!$F$11:$K$25,5,0),VLOOKUP(B36,Modules!$G$11:$K$25,4,0)))</f>
        <v>#N/A</v>
      </c>
      <c r="V36" s="10" t="e">
        <f>MATCH(U36,Interventions!C:C,0)</f>
        <v>#N/A</v>
      </c>
      <c r="W36" s="10" t="e">
        <f>MATCH(U36,Interventions!C:C,1)</f>
        <v>#N/A</v>
      </c>
    </row>
    <row r="37" spans="1:23" ht="39.9" customHeight="1" x14ac:dyDescent="0.35">
      <c r="A37" s="30"/>
      <c r="B37" s="71"/>
      <c r="C37" s="71"/>
      <c r="D37" s="103"/>
      <c r="E37" s="104" t="str">
        <f>IF(IF(Modules!$D$4="EUR",D37*($T$112),$D37)=0,"",IF(Modules!$D$4="EUR",D37*($T$112),$D37))</f>
        <v/>
      </c>
      <c r="F37" s="31"/>
      <c r="G37" s="31"/>
      <c r="H37" s="30"/>
      <c r="I37" s="102"/>
      <c r="J37" s="30"/>
      <c r="K37" s="70" t="str">
        <f>IFERROR(VLOOKUP(B37,Modules!C:D,2,0),"")</f>
        <v/>
      </c>
      <c r="L37" s="69" t="str">
        <f>IFERROR(VLOOKUP($C37,Interventions!E:F,2,0),IFERROR(VLOOKUP($C37,Interventions!I:L,4,0),IFERROR(VLOOKUP($C37,Interventions!J:L,3,0),"")))</f>
        <v/>
      </c>
      <c r="M37" s="102" t="str">
        <f>IF(IF(Modules!$D$4="EUR",I37/($T$112),$I37)=0,"",IF(Modules!$D$4="EUR",I37/($T$112),$I37))</f>
        <v/>
      </c>
      <c r="N37" s="30" t="str">
        <f>CLEAN(IFERROR(VLOOKUP($C37,Interventions!$E$1:$K$407,7,0),""))</f>
        <v/>
      </c>
      <c r="O37" s="30" t="str">
        <f>CLEAN(IF(C37="","",CONCATENATE(Modules!$B$8,"/",'PAAR UPDATE'!N37,R37)))</f>
        <v/>
      </c>
      <c r="P37" s="10">
        <f>IFERROR(INDEX('Dropdown Data'!$D$33:$D$35,MATCH(A37,'Dropdown Data'!$B$33:$B$35,0)),IFERROR(INDEX('Dropdown Data'!$D$33:$D$35,MATCH(A37,'Dropdown Data'!$C$33:$C$35,0)),A37))</f>
        <v>0</v>
      </c>
      <c r="Q37" s="10">
        <f>IFERROR(INDEX('Dropdown Data'!$D$33:$D$36,MATCH(H37,'Dropdown Data'!$B$33:$B$36,0)),IFERROR(INDEX('Dropdown Data'!$D$33:$D$36,MATCH(H37,'Dropdown Data'!$C$33:$C$36,0)),H37))</f>
        <v>0</v>
      </c>
      <c r="R37" s="10">
        <v>8</v>
      </c>
      <c r="S37" s="10" t="b">
        <f t="shared" si="0"/>
        <v>1</v>
      </c>
      <c r="T37" s="10">
        <f t="shared" si="1"/>
        <v>10</v>
      </c>
      <c r="U37" s="10" t="e">
        <f>IFERROR(VLOOKUP(B37,Modules!$E$11:$K$25,6,0),IFERROR(VLOOKUP(B37,Modules!$F$11:$K$25,5,0),VLOOKUP(B37,Modules!$G$11:$K$25,4,0)))</f>
        <v>#N/A</v>
      </c>
      <c r="V37" s="10" t="e">
        <f>MATCH(U37,Interventions!C:C,0)</f>
        <v>#N/A</v>
      </c>
      <c r="W37" s="10" t="e">
        <f>MATCH(U37,Interventions!C:C,1)</f>
        <v>#N/A</v>
      </c>
    </row>
    <row r="38" spans="1:23" ht="39.9" customHeight="1" x14ac:dyDescent="0.35">
      <c r="A38" s="30"/>
      <c r="B38" s="71"/>
      <c r="C38" s="71"/>
      <c r="D38" s="103"/>
      <c r="E38" s="104" t="str">
        <f>IF(IF(Modules!$D$4="EUR",D38*($T$112),$D38)=0,"",IF(Modules!$D$4="EUR",D38*($T$112),$D38))</f>
        <v/>
      </c>
      <c r="F38" s="31"/>
      <c r="G38" s="31"/>
      <c r="H38" s="30"/>
      <c r="I38" s="102"/>
      <c r="J38" s="30"/>
      <c r="K38" s="70" t="str">
        <f>IFERROR(VLOOKUP(B38,Modules!C:D,2,0),"")</f>
        <v/>
      </c>
      <c r="L38" s="69" t="str">
        <f>IFERROR(VLOOKUP($C38,Interventions!E:F,2,0),IFERROR(VLOOKUP($C38,Interventions!I:L,4,0),IFERROR(VLOOKUP($C38,Interventions!J:L,3,0),"")))</f>
        <v/>
      </c>
      <c r="M38" s="102" t="str">
        <f>IF(IF(Modules!$D$4="EUR",I38/($T$112),$I38)=0,"",IF(Modules!$D$4="EUR",I38/($T$112),$I38))</f>
        <v/>
      </c>
      <c r="N38" s="30" t="str">
        <f>CLEAN(IFERROR(VLOOKUP($C38,Interventions!$E$1:$K$407,7,0),""))</f>
        <v/>
      </c>
      <c r="O38" s="30" t="str">
        <f>CLEAN(IF(C38="","",CONCATENATE(Modules!$B$8,"/",'PAAR UPDATE'!N38,R38)))</f>
        <v/>
      </c>
      <c r="P38" s="10">
        <f>IFERROR(INDEX('Dropdown Data'!$D$33:$D$35,MATCH(A38,'Dropdown Data'!$B$33:$B$35,0)),IFERROR(INDEX('Dropdown Data'!$D$33:$D$35,MATCH(A38,'Dropdown Data'!$C$33:$C$35,0)),A38))</f>
        <v>0</v>
      </c>
      <c r="Q38" s="10">
        <f>IFERROR(INDEX('Dropdown Data'!$D$33:$D$36,MATCH(H38,'Dropdown Data'!$B$33:$B$36,0)),IFERROR(INDEX('Dropdown Data'!$D$33:$D$36,MATCH(H38,'Dropdown Data'!$C$33:$C$36,0)),H38))</f>
        <v>0</v>
      </c>
      <c r="R38" s="10">
        <v>9</v>
      </c>
      <c r="S38" s="10" t="b">
        <f t="shared" si="0"/>
        <v>1</v>
      </c>
      <c r="T38" s="10">
        <f t="shared" si="1"/>
        <v>10</v>
      </c>
      <c r="U38" s="10" t="e">
        <f>IFERROR(VLOOKUP(B38,Modules!$E$11:$K$25,6,0),IFERROR(VLOOKUP(B38,Modules!$F$11:$K$25,5,0),VLOOKUP(B38,Modules!$G$11:$K$25,4,0)))</f>
        <v>#N/A</v>
      </c>
      <c r="V38" s="10" t="e">
        <f>MATCH(U38,Interventions!C:C,0)</f>
        <v>#N/A</v>
      </c>
      <c r="W38" s="10" t="e">
        <f>MATCH(U38,Interventions!C:C,1)</f>
        <v>#N/A</v>
      </c>
    </row>
    <row r="39" spans="1:23" ht="39.9" customHeight="1" x14ac:dyDescent="0.35">
      <c r="A39" s="30"/>
      <c r="B39" s="71"/>
      <c r="C39" s="71"/>
      <c r="D39" s="103"/>
      <c r="E39" s="104" t="str">
        <f>IF(IF(Modules!$D$4="EUR",D39*($T$112),$D39)=0,"",IF(Modules!$D$4="EUR",D39*($T$112),$D39))</f>
        <v/>
      </c>
      <c r="F39" s="31"/>
      <c r="G39" s="31"/>
      <c r="H39" s="30"/>
      <c r="I39" s="102"/>
      <c r="J39" s="30"/>
      <c r="K39" s="70" t="str">
        <f>IFERROR(VLOOKUP(B39,Modules!C:D,2,0),"")</f>
        <v/>
      </c>
      <c r="L39" s="69" t="str">
        <f>IFERROR(VLOOKUP($C39,Interventions!E:F,2,0),IFERROR(VLOOKUP($C39,Interventions!I:L,4,0),IFERROR(VLOOKUP($C39,Interventions!J:L,3,0),"")))</f>
        <v/>
      </c>
      <c r="M39" s="102" t="str">
        <f>IF(IF(Modules!$D$4="EUR",I39/($T$112),$I39)=0,"",IF(Modules!$D$4="EUR",I39/($T$112),$I39))</f>
        <v/>
      </c>
      <c r="N39" s="30" t="str">
        <f>CLEAN(IFERROR(VLOOKUP($C39,Interventions!$E$1:$K$407,7,0),""))</f>
        <v/>
      </c>
      <c r="O39" s="30" t="str">
        <f>CLEAN(IF(C39="","",CONCATENATE(Modules!$B$8,"/",'PAAR UPDATE'!N39,R39)))</f>
        <v/>
      </c>
      <c r="P39" s="10">
        <f>IFERROR(INDEX('Dropdown Data'!$D$33:$D$35,MATCH(A39,'Dropdown Data'!$B$33:$B$35,0)),IFERROR(INDEX('Dropdown Data'!$D$33:$D$35,MATCH(A39,'Dropdown Data'!$C$33:$C$35,0)),A39))</f>
        <v>0</v>
      </c>
      <c r="Q39" s="10">
        <f>IFERROR(INDEX('Dropdown Data'!$D$33:$D$36,MATCH(H39,'Dropdown Data'!$B$33:$B$36,0)),IFERROR(INDEX('Dropdown Data'!$D$33:$D$36,MATCH(H39,'Dropdown Data'!$C$33:$C$36,0)),H39))</f>
        <v>0</v>
      </c>
      <c r="R39" s="10">
        <v>10</v>
      </c>
      <c r="S39" s="10" t="b">
        <f t="shared" si="0"/>
        <v>1</v>
      </c>
      <c r="T39" s="10">
        <f t="shared" si="1"/>
        <v>10</v>
      </c>
      <c r="U39" s="10" t="e">
        <f>IFERROR(VLOOKUP(B39,Modules!$E$11:$K$25,6,0),IFERROR(VLOOKUP(B39,Modules!$F$11:$K$25,5,0),VLOOKUP(B39,Modules!$G$11:$K$25,4,0)))</f>
        <v>#N/A</v>
      </c>
      <c r="V39" s="10" t="e">
        <f>MATCH(U39,Interventions!C:C,0)</f>
        <v>#N/A</v>
      </c>
      <c r="W39" s="10" t="e">
        <f>MATCH(U39,Interventions!C:C,1)</f>
        <v>#N/A</v>
      </c>
    </row>
    <row r="40" spans="1:23" ht="39.9" customHeight="1" x14ac:dyDescent="0.35">
      <c r="A40" s="30"/>
      <c r="B40" s="71"/>
      <c r="C40" s="71"/>
      <c r="D40" s="103"/>
      <c r="E40" s="104" t="str">
        <f>IF(IF(Modules!$D$4="EUR",D40*($T$112),$D40)=0,"",IF(Modules!$D$4="EUR",D40*($T$112),$D40))</f>
        <v/>
      </c>
      <c r="F40" s="31"/>
      <c r="G40" s="31"/>
      <c r="H40" s="30"/>
      <c r="I40" s="102"/>
      <c r="J40" s="30"/>
      <c r="K40" s="73" t="str">
        <f>IFERROR(VLOOKUP(B40,Modules!C:D,2,0),"")</f>
        <v/>
      </c>
      <c r="L40" s="69" t="str">
        <f>IFERROR(VLOOKUP($C40,Interventions!E:F,2,0),IFERROR(VLOOKUP($C40,Interventions!I:L,4,0),IFERROR(VLOOKUP($C40,Interventions!J:L,3,0),"")))</f>
        <v/>
      </c>
      <c r="M40" s="102" t="str">
        <f>IF(IF(Modules!$D$4="EUR",I40/($T$112),$I40)=0,"",IF(Modules!$D$4="EUR",I40/($T$112),$I40))</f>
        <v/>
      </c>
      <c r="N40" s="30" t="str">
        <f>CLEAN(IFERROR(VLOOKUP($C40,Interventions!$E$1:$K$407,7,0),""))</f>
        <v/>
      </c>
      <c r="O40" s="30" t="str">
        <f>CLEAN(IF(C40="","",CONCATENATE(Modules!$B$8,"/",'PAAR UPDATE'!N40,R40)))</f>
        <v/>
      </c>
      <c r="P40" s="10">
        <f>IFERROR(INDEX('Dropdown Data'!$D$33:$D$35,MATCH(A40,'Dropdown Data'!$B$33:$B$35,0)),IFERROR(INDEX('Dropdown Data'!$D$33:$D$35,MATCH(A40,'Dropdown Data'!$C$33:$C$35,0)),A40))</f>
        <v>0</v>
      </c>
      <c r="Q40" s="10">
        <f>IFERROR(INDEX('Dropdown Data'!$D$33:$D$36,MATCH(H40,'Dropdown Data'!$B$33:$B$36,0)),IFERROR(INDEX('Dropdown Data'!$D$33:$D$36,MATCH(H40,'Dropdown Data'!$C$33:$C$36,0)),H40))</f>
        <v>0</v>
      </c>
      <c r="R40" s="10">
        <v>11</v>
      </c>
      <c r="S40" s="10" t="b">
        <f t="shared" si="0"/>
        <v>1</v>
      </c>
      <c r="T40" s="10">
        <f t="shared" si="1"/>
        <v>10</v>
      </c>
      <c r="U40" s="10" t="e">
        <f>IFERROR(VLOOKUP(B40,Modules!$E$11:$K$25,6,0),IFERROR(VLOOKUP(B40,Modules!$F$11:$K$25,5,0),VLOOKUP(B40,Modules!$G$11:$K$25,4,0)))</f>
        <v>#N/A</v>
      </c>
      <c r="V40" s="10" t="e">
        <f>MATCH(U40,Interventions!C:C,0)</f>
        <v>#N/A</v>
      </c>
      <c r="W40" s="10" t="e">
        <f>MATCH(U40,Interventions!C:C,1)</f>
        <v>#N/A</v>
      </c>
    </row>
    <row r="41" spans="1:23" ht="39.9" customHeight="1" x14ac:dyDescent="0.35">
      <c r="A41" s="30"/>
      <c r="B41" s="71"/>
      <c r="C41" s="71"/>
      <c r="D41" s="103"/>
      <c r="E41" s="104" t="str">
        <f>IF(IF(Modules!$D$4="EUR",D41*($T$112),$D41)=0,"",IF(Modules!$D$4="EUR",D41*($T$112),$D41))</f>
        <v/>
      </c>
      <c r="F41" s="31"/>
      <c r="G41" s="31"/>
      <c r="H41" s="30"/>
      <c r="I41" s="102"/>
      <c r="J41" s="30"/>
      <c r="K41" s="73" t="str">
        <f>IFERROR(VLOOKUP(B41,Modules!C:D,2,0),"")</f>
        <v/>
      </c>
      <c r="L41" s="69" t="str">
        <f>IFERROR(VLOOKUP($C41,Interventions!E:F,2,0),IFERROR(VLOOKUP($C41,Interventions!I:L,4,0),IFERROR(VLOOKUP($C41,Interventions!J:L,3,0),"")))</f>
        <v/>
      </c>
      <c r="M41" s="102" t="str">
        <f>IF(IF(Modules!$D$4="EUR",I41/($T$112),$I41)=0,"",IF(Modules!$D$4="EUR",I41/($T$112),$I41))</f>
        <v/>
      </c>
      <c r="N41" s="30" t="str">
        <f>CLEAN(IFERROR(VLOOKUP($C41,Interventions!$E$1:$K$407,7,0),""))</f>
        <v/>
      </c>
      <c r="O41" s="30" t="str">
        <f>CLEAN(IF(C41="","",CONCATENATE(Modules!$B$8,"/",'PAAR UPDATE'!N41,R41)))</f>
        <v/>
      </c>
      <c r="P41" s="10">
        <f>IFERROR(INDEX('Dropdown Data'!$D$33:$D$35,MATCH(A41,'Dropdown Data'!$B$33:$B$35,0)),IFERROR(INDEX('Dropdown Data'!$D$33:$D$35,MATCH(A41,'Dropdown Data'!$C$33:$C$35,0)),A41))</f>
        <v>0</v>
      </c>
      <c r="Q41" s="10">
        <f>IFERROR(INDEX('Dropdown Data'!$D$33:$D$36,MATCH(H41,'Dropdown Data'!$B$33:$B$36,0)),IFERROR(INDEX('Dropdown Data'!$D$33:$D$36,MATCH(H41,'Dropdown Data'!$C$33:$C$36,0)),H41))</f>
        <v>0</v>
      </c>
      <c r="R41" s="10">
        <v>12</v>
      </c>
      <c r="S41" s="10" t="b">
        <f t="shared" si="0"/>
        <v>1</v>
      </c>
      <c r="T41" s="10">
        <f t="shared" si="1"/>
        <v>10</v>
      </c>
      <c r="U41" s="10" t="e">
        <f>IFERROR(VLOOKUP(B41,Modules!$E$11:$K$25,6,0),IFERROR(VLOOKUP(B41,Modules!$F$11:$K$25,5,0),VLOOKUP(B41,Modules!$G$11:$K$25,4,0)))</f>
        <v>#N/A</v>
      </c>
      <c r="V41" s="10" t="e">
        <f>MATCH(U41,Interventions!C:C,0)</f>
        <v>#N/A</v>
      </c>
      <c r="W41" s="10" t="e">
        <f>MATCH(U41,Interventions!C:C,1)</f>
        <v>#N/A</v>
      </c>
    </row>
    <row r="42" spans="1:23" ht="39.9" customHeight="1" x14ac:dyDescent="0.35">
      <c r="A42" s="30"/>
      <c r="B42" s="71"/>
      <c r="C42" s="71"/>
      <c r="D42" s="103"/>
      <c r="E42" s="104" t="str">
        <f>IF(IF(Modules!$D$4="EUR",D42*($T$112),$D42)=0,"",IF(Modules!$D$4="EUR",D42*($T$112),$D42))</f>
        <v/>
      </c>
      <c r="F42" s="31"/>
      <c r="G42" s="31"/>
      <c r="H42" s="30"/>
      <c r="I42" s="102"/>
      <c r="J42" s="30"/>
      <c r="K42" s="73" t="str">
        <f>IFERROR(VLOOKUP(B42,Modules!C:D,2,0),"")</f>
        <v/>
      </c>
      <c r="L42" s="69" t="str">
        <f>IFERROR(VLOOKUP($C42,Interventions!E:F,2,0),IFERROR(VLOOKUP($C42,Interventions!I:L,4,0),IFERROR(VLOOKUP($C42,Interventions!J:L,3,0),"")))</f>
        <v/>
      </c>
      <c r="M42" s="102" t="str">
        <f>IF(IF(Modules!$D$4="EUR",I42/($T$112),$I42)=0,"",IF(Modules!$D$4="EUR",I42/($T$112),$I42))</f>
        <v/>
      </c>
      <c r="N42" s="30" t="str">
        <f>CLEAN(IFERROR(VLOOKUP($C42,Interventions!$E$1:$K$407,7,0),""))</f>
        <v/>
      </c>
      <c r="O42" s="30" t="str">
        <f>CLEAN(IF(C42="","",CONCATENATE(Modules!$B$8,"/",'PAAR UPDATE'!N42,R42)))</f>
        <v/>
      </c>
      <c r="P42" s="10">
        <f>IFERROR(INDEX('Dropdown Data'!$D$33:$D$35,MATCH(A42,'Dropdown Data'!$B$33:$B$35,0)),IFERROR(INDEX('Dropdown Data'!$D$33:$D$35,MATCH(A42,'Dropdown Data'!$C$33:$C$35,0)),A42))</f>
        <v>0</v>
      </c>
      <c r="Q42" s="10">
        <f>IFERROR(INDEX('Dropdown Data'!$D$33:$D$36,MATCH(H42,'Dropdown Data'!$B$33:$B$36,0)),IFERROR(INDEX('Dropdown Data'!$D$33:$D$36,MATCH(H42,'Dropdown Data'!$C$33:$C$36,0)),H42))</f>
        <v>0</v>
      </c>
      <c r="R42" s="10">
        <v>13</v>
      </c>
      <c r="S42" s="10" t="b">
        <f t="shared" si="0"/>
        <v>1</v>
      </c>
      <c r="T42" s="10">
        <f t="shared" si="1"/>
        <v>10</v>
      </c>
      <c r="U42" s="10" t="e">
        <f>IFERROR(VLOOKUP(B42,Modules!$E$11:$K$25,6,0),IFERROR(VLOOKUP(B42,Modules!$F$11:$K$25,5,0),VLOOKUP(B42,Modules!$G$11:$K$25,4,0)))</f>
        <v>#N/A</v>
      </c>
      <c r="V42" s="10" t="e">
        <f>MATCH(U42,Interventions!C:C,0)</f>
        <v>#N/A</v>
      </c>
      <c r="W42" s="10" t="e">
        <f>MATCH(U42,Interventions!C:C,1)</f>
        <v>#N/A</v>
      </c>
    </row>
    <row r="43" spans="1:23" ht="39.9" customHeight="1" x14ac:dyDescent="0.35">
      <c r="A43" s="30"/>
      <c r="B43" s="71"/>
      <c r="C43" s="71"/>
      <c r="D43" s="103"/>
      <c r="E43" s="104" t="str">
        <f>IF(IF(Modules!$D$4="EUR",D43*($T$112),$D43)=0,"",IF(Modules!$D$4="EUR",D43*($T$112),$D43))</f>
        <v/>
      </c>
      <c r="F43" s="31"/>
      <c r="G43" s="31"/>
      <c r="H43" s="30"/>
      <c r="I43" s="102"/>
      <c r="J43" s="30"/>
      <c r="K43" s="73" t="str">
        <f>IFERROR(VLOOKUP(B43,Modules!C:D,2,0),"")</f>
        <v/>
      </c>
      <c r="L43" s="69" t="str">
        <f>IFERROR(VLOOKUP($C43,Interventions!E:F,2,0),IFERROR(VLOOKUP($C43,Interventions!I:L,4,0),IFERROR(VLOOKUP($C43,Interventions!J:L,3,0),"")))</f>
        <v/>
      </c>
      <c r="M43" s="102" t="str">
        <f>IF(IF(Modules!$D$4="EUR",I43/($T$112),$I43)=0,"",IF(Modules!$D$4="EUR",I43/($T$112),$I43))</f>
        <v/>
      </c>
      <c r="N43" s="30" t="str">
        <f>CLEAN(IFERROR(VLOOKUP($C43,Interventions!$E$1:$K$407,7,0),""))</f>
        <v/>
      </c>
      <c r="O43" s="30" t="str">
        <f>CLEAN(IF(C43="","",CONCATENATE(Modules!$B$8,"/",'PAAR UPDATE'!N43,R43)))</f>
        <v/>
      </c>
      <c r="P43" s="10">
        <f>IFERROR(INDEX('Dropdown Data'!$D$33:$D$35,MATCH(A43,'Dropdown Data'!$B$33:$B$35,0)),IFERROR(INDEX('Dropdown Data'!$D$33:$D$35,MATCH(A43,'Dropdown Data'!$C$33:$C$35,0)),A43))</f>
        <v>0</v>
      </c>
      <c r="Q43" s="10">
        <f>IFERROR(INDEX('Dropdown Data'!$D$33:$D$36,MATCH(H43,'Dropdown Data'!$B$33:$B$36,0)),IFERROR(INDEX('Dropdown Data'!$D$33:$D$36,MATCH(H43,'Dropdown Data'!$C$33:$C$36,0)),H43))</f>
        <v>0</v>
      </c>
      <c r="R43" s="10">
        <v>14</v>
      </c>
      <c r="S43" s="10" t="b">
        <f t="shared" si="0"/>
        <v>1</v>
      </c>
      <c r="T43" s="10">
        <f t="shared" si="1"/>
        <v>10</v>
      </c>
      <c r="U43" s="10" t="e">
        <f>IFERROR(VLOOKUP(B43,Modules!$E$11:$K$25,6,0),IFERROR(VLOOKUP(B43,Modules!$F$11:$K$25,5,0),VLOOKUP(B43,Modules!$G$11:$K$25,4,0)))</f>
        <v>#N/A</v>
      </c>
      <c r="V43" s="10" t="e">
        <f>MATCH(U43,Interventions!C:C,0)</f>
        <v>#N/A</v>
      </c>
      <c r="W43" s="10" t="e">
        <f>MATCH(U43,Interventions!C:C,1)</f>
        <v>#N/A</v>
      </c>
    </row>
    <row r="44" spans="1:23" ht="39.9" customHeight="1" x14ac:dyDescent="0.35">
      <c r="A44" s="30"/>
      <c r="B44" s="71"/>
      <c r="C44" s="71"/>
      <c r="D44" s="103"/>
      <c r="E44" s="104" t="str">
        <f>IF(IF(Modules!$D$4="EUR",D44*($T$112),$D44)=0,"",IF(Modules!$D$4="EUR",D44*($T$112),$D44))</f>
        <v/>
      </c>
      <c r="F44" s="31"/>
      <c r="G44" s="31"/>
      <c r="H44" s="30"/>
      <c r="I44" s="102"/>
      <c r="J44" s="30"/>
      <c r="K44" s="73" t="str">
        <f>IFERROR(VLOOKUP(B44,Modules!C:D,2,0),"")</f>
        <v/>
      </c>
      <c r="L44" s="69" t="str">
        <f>IFERROR(VLOOKUP($C44,Interventions!E:F,2,0),IFERROR(VLOOKUP($C44,Interventions!I:L,4,0),IFERROR(VLOOKUP($C44,Interventions!J:L,3,0),"")))</f>
        <v/>
      </c>
      <c r="M44" s="102" t="str">
        <f>IF(IF(Modules!$D$4="EUR",I44/($T$112),$I44)=0,"",IF(Modules!$D$4="EUR",I44/($T$112),$I44))</f>
        <v/>
      </c>
      <c r="N44" s="30" t="str">
        <f>CLEAN(IFERROR(VLOOKUP($C44,Interventions!$E$1:$K$407,7,0),""))</f>
        <v/>
      </c>
      <c r="O44" s="30" t="str">
        <f>CLEAN(IF(C44="","",CONCATENATE(Modules!$B$8,"/",'PAAR UPDATE'!N44,R44)))</f>
        <v/>
      </c>
      <c r="P44" s="10">
        <f>IFERROR(INDEX('Dropdown Data'!$D$33:$D$35,MATCH(A44,'Dropdown Data'!$B$33:$B$35,0)),IFERROR(INDEX('Dropdown Data'!$D$33:$D$35,MATCH(A44,'Dropdown Data'!$C$33:$C$35,0)),A44))</f>
        <v>0</v>
      </c>
      <c r="Q44" s="10">
        <f>IFERROR(INDEX('Dropdown Data'!$D$33:$D$36,MATCH(H44,'Dropdown Data'!$B$33:$B$36,0)),IFERROR(INDEX('Dropdown Data'!$D$33:$D$36,MATCH(H44,'Dropdown Data'!$C$33:$C$36,0)),H44))</f>
        <v>0</v>
      </c>
      <c r="R44" s="10">
        <v>15</v>
      </c>
      <c r="S44" s="10" t="b">
        <f t="shared" si="0"/>
        <v>1</v>
      </c>
      <c r="T44" s="10">
        <f t="shared" si="1"/>
        <v>10</v>
      </c>
      <c r="U44" s="10" t="e">
        <f>IFERROR(VLOOKUP(B44,Modules!$E$11:$K$25,6,0),IFERROR(VLOOKUP(B44,Modules!$F$11:$K$25,5,0),VLOOKUP(B44,Modules!$G$11:$K$25,4,0)))</f>
        <v>#N/A</v>
      </c>
      <c r="V44" s="10" t="e">
        <f>MATCH(U44,Interventions!C:C,0)</f>
        <v>#N/A</v>
      </c>
      <c r="W44" s="10" t="e">
        <f>MATCH(U44,Interventions!C:C,1)</f>
        <v>#N/A</v>
      </c>
    </row>
    <row r="45" spans="1:23" ht="39.9" customHeight="1" x14ac:dyDescent="0.35">
      <c r="A45" s="30"/>
      <c r="B45" s="71"/>
      <c r="C45" s="71"/>
      <c r="D45" s="103"/>
      <c r="E45" s="104" t="str">
        <f>IF(IF(Modules!$D$4="EUR",D45*($T$112),$D45)=0,"",IF(Modules!$D$4="EUR",D45*($T$112),$D45))</f>
        <v/>
      </c>
      <c r="F45" s="31"/>
      <c r="G45" s="31"/>
      <c r="H45" s="30"/>
      <c r="I45" s="102"/>
      <c r="J45" s="30"/>
      <c r="K45" s="73" t="str">
        <f>IFERROR(VLOOKUP(B45,Modules!C:D,2,0),"")</f>
        <v/>
      </c>
      <c r="L45" s="69" t="str">
        <f>IFERROR(VLOOKUP($C45,Interventions!E:F,2,0),IFERROR(VLOOKUP($C45,Interventions!I:L,4,0),IFERROR(VLOOKUP($C45,Interventions!J:L,3,0),"")))</f>
        <v/>
      </c>
      <c r="M45" s="102" t="str">
        <f>IF(IF(Modules!$D$4="EUR",I45/($T$112),$I45)=0,"",IF(Modules!$D$4="EUR",I45/($T$112),$I45))</f>
        <v/>
      </c>
      <c r="N45" s="30" t="str">
        <f>CLEAN(IFERROR(VLOOKUP($C45,Interventions!$E$1:$K$407,7,0),""))</f>
        <v/>
      </c>
      <c r="O45" s="30" t="str">
        <f>CLEAN(IF(C45="","",CONCATENATE(Modules!$B$8,"/",'PAAR UPDATE'!N45,R45)))</f>
        <v/>
      </c>
      <c r="P45" s="10">
        <f>IFERROR(INDEX('Dropdown Data'!$D$33:$D$35,MATCH(A45,'Dropdown Data'!$B$33:$B$35,0)),IFERROR(INDEX('Dropdown Data'!$D$33:$D$35,MATCH(A45,'Dropdown Data'!$C$33:$C$35,0)),A45))</f>
        <v>0</v>
      </c>
      <c r="Q45" s="10">
        <f>IFERROR(INDEX('Dropdown Data'!$D$33:$D$36,MATCH(H45,'Dropdown Data'!$B$33:$B$36,0)),IFERROR(INDEX('Dropdown Data'!$D$33:$D$36,MATCH(H45,'Dropdown Data'!$C$33:$C$36,0)),H45))</f>
        <v>0</v>
      </c>
      <c r="R45" s="10">
        <v>16</v>
      </c>
      <c r="S45" s="10" t="b">
        <f t="shared" si="0"/>
        <v>1</v>
      </c>
      <c r="T45" s="10">
        <f t="shared" si="1"/>
        <v>10</v>
      </c>
      <c r="U45" s="10" t="e">
        <f>IFERROR(VLOOKUP(B45,Modules!$E$11:$K$25,6,0),IFERROR(VLOOKUP(B45,Modules!$F$11:$K$25,5,0),VLOOKUP(B45,Modules!$G$11:$K$25,4,0)))</f>
        <v>#N/A</v>
      </c>
      <c r="V45" s="10" t="e">
        <f>MATCH(U45,Interventions!C:C,0)</f>
        <v>#N/A</v>
      </c>
      <c r="W45" s="10" t="e">
        <f>MATCH(U45,Interventions!C:C,1)</f>
        <v>#N/A</v>
      </c>
    </row>
    <row r="46" spans="1:23" ht="39.9" customHeight="1" x14ac:dyDescent="0.35">
      <c r="A46" s="30"/>
      <c r="B46" s="71"/>
      <c r="C46" s="71"/>
      <c r="D46" s="103"/>
      <c r="E46" s="104" t="str">
        <f>IF(IF(Modules!$D$4="EUR",D46*($T$112),$D46)=0,"",IF(Modules!$D$4="EUR",D46*($T$112),$D46))</f>
        <v/>
      </c>
      <c r="F46" s="31"/>
      <c r="G46" s="31"/>
      <c r="H46" s="30"/>
      <c r="I46" s="102"/>
      <c r="J46" s="30"/>
      <c r="K46" s="73" t="str">
        <f>IFERROR(VLOOKUP(B46,Modules!C:D,2,0),"")</f>
        <v/>
      </c>
      <c r="L46" s="69" t="str">
        <f>IFERROR(VLOOKUP($C46,Interventions!E:F,2,0),IFERROR(VLOOKUP($C46,Interventions!I:L,4,0),IFERROR(VLOOKUP($C46,Interventions!J:L,3,0),"")))</f>
        <v/>
      </c>
      <c r="M46" s="102" t="str">
        <f>IF(IF(Modules!$D$4="EUR",I46/($T$112),$I46)=0,"",IF(Modules!$D$4="EUR",I46/($T$112),$I46))</f>
        <v/>
      </c>
      <c r="N46" s="30" t="str">
        <f>CLEAN(IFERROR(VLOOKUP($C46,Interventions!$E$1:$K$407,7,0),""))</f>
        <v/>
      </c>
      <c r="O46" s="30" t="str">
        <f>CLEAN(IF(C46="","",CONCATENATE(Modules!$B$8,"/",'PAAR UPDATE'!N46,R46)))</f>
        <v/>
      </c>
      <c r="P46" s="10">
        <f>IFERROR(INDEX('Dropdown Data'!$D$33:$D$35,MATCH(A46,'Dropdown Data'!$B$33:$B$35,0)),IFERROR(INDEX('Dropdown Data'!$D$33:$D$35,MATCH(A46,'Dropdown Data'!$C$33:$C$35,0)),A46))</f>
        <v>0</v>
      </c>
      <c r="Q46" s="10">
        <f>IFERROR(INDEX('Dropdown Data'!$D$33:$D$36,MATCH(H46,'Dropdown Data'!$B$33:$B$36,0)),IFERROR(INDEX('Dropdown Data'!$D$33:$D$36,MATCH(H46,'Dropdown Data'!$C$33:$C$36,0)),H46))</f>
        <v>0</v>
      </c>
      <c r="R46" s="10">
        <v>17</v>
      </c>
      <c r="S46" s="10" t="b">
        <f t="shared" si="0"/>
        <v>1</v>
      </c>
      <c r="T46" s="10">
        <f t="shared" si="1"/>
        <v>10</v>
      </c>
      <c r="U46" s="10" t="e">
        <f>IFERROR(VLOOKUP(B46,Modules!$E$11:$K$25,6,0),IFERROR(VLOOKUP(B46,Modules!$F$11:$K$25,5,0),VLOOKUP(B46,Modules!$G$11:$K$25,4,0)))</f>
        <v>#N/A</v>
      </c>
      <c r="V46" s="10" t="e">
        <f>MATCH(U46,Interventions!C:C,0)</f>
        <v>#N/A</v>
      </c>
      <c r="W46" s="10" t="e">
        <f>MATCH(U46,Interventions!C:C,1)</f>
        <v>#N/A</v>
      </c>
    </row>
    <row r="47" spans="1:23" ht="39.9" customHeight="1" x14ac:dyDescent="0.35">
      <c r="A47" s="30"/>
      <c r="B47" s="71"/>
      <c r="C47" s="71"/>
      <c r="D47" s="103"/>
      <c r="E47" s="104" t="str">
        <f>IF(IF(Modules!$D$4="EUR",D47*($T$112),$D47)=0,"",IF(Modules!$D$4="EUR",D47*($T$112),$D47))</f>
        <v/>
      </c>
      <c r="F47" s="31"/>
      <c r="G47" s="31"/>
      <c r="H47" s="30"/>
      <c r="I47" s="102"/>
      <c r="J47" s="30"/>
      <c r="K47" s="73" t="str">
        <f>IFERROR(VLOOKUP(B47,Modules!C:D,2,0),"")</f>
        <v/>
      </c>
      <c r="L47" s="69" t="str">
        <f>IFERROR(VLOOKUP($C47,Interventions!E:F,2,0),IFERROR(VLOOKUP($C47,Interventions!I:L,4,0),IFERROR(VLOOKUP($C47,Interventions!J:L,3,0),"")))</f>
        <v/>
      </c>
      <c r="M47" s="102" t="str">
        <f>IF(IF(Modules!$D$4="EUR",I47/($T$112),$I47)=0,"",IF(Modules!$D$4="EUR",I47/($T$112),$I47))</f>
        <v/>
      </c>
      <c r="N47" s="30" t="str">
        <f>CLEAN(IFERROR(VLOOKUP($C47,Interventions!$E$1:$K$407,7,0),""))</f>
        <v/>
      </c>
      <c r="O47" s="30" t="str">
        <f>CLEAN(IF(C47="","",CONCATENATE(Modules!$B$8,"/",'PAAR UPDATE'!N47,R47)))</f>
        <v/>
      </c>
      <c r="P47" s="10">
        <f>IFERROR(INDEX('Dropdown Data'!$D$33:$D$35,MATCH(A47,'Dropdown Data'!$B$33:$B$35,0)),IFERROR(INDEX('Dropdown Data'!$D$33:$D$35,MATCH(A47,'Dropdown Data'!$C$33:$C$35,0)),A47))</f>
        <v>0</v>
      </c>
      <c r="Q47" s="10">
        <f>IFERROR(INDEX('Dropdown Data'!$D$33:$D$36,MATCH(H47,'Dropdown Data'!$B$33:$B$36,0)),IFERROR(INDEX('Dropdown Data'!$D$33:$D$36,MATCH(H47,'Dropdown Data'!$C$33:$C$36,0)),H47))</f>
        <v>0</v>
      </c>
      <c r="R47" s="10">
        <v>18</v>
      </c>
      <c r="S47" s="10" t="b">
        <f t="shared" si="0"/>
        <v>1</v>
      </c>
      <c r="T47" s="10">
        <f t="shared" si="1"/>
        <v>10</v>
      </c>
      <c r="U47" s="10" t="e">
        <f>IFERROR(VLOOKUP(B47,Modules!$E$11:$K$25,6,0),IFERROR(VLOOKUP(B47,Modules!$F$11:$K$25,5,0),VLOOKUP(B47,Modules!$G$11:$K$25,4,0)))</f>
        <v>#N/A</v>
      </c>
      <c r="V47" s="10" t="e">
        <f>MATCH(U47,Interventions!C:C,0)</f>
        <v>#N/A</v>
      </c>
      <c r="W47" s="10" t="e">
        <f>MATCH(U47,Interventions!C:C,1)</f>
        <v>#N/A</v>
      </c>
    </row>
    <row r="48" spans="1:23" ht="39.9" customHeight="1" x14ac:dyDescent="0.35">
      <c r="A48" s="30"/>
      <c r="B48" s="71"/>
      <c r="C48" s="71"/>
      <c r="D48" s="103"/>
      <c r="E48" s="104" t="str">
        <f>IF(IF(Modules!$D$4="EUR",D48*($T$112),$D48)=0,"",IF(Modules!$D$4="EUR",D48*($T$112),$D48))</f>
        <v/>
      </c>
      <c r="F48" s="31"/>
      <c r="G48" s="31"/>
      <c r="H48" s="30"/>
      <c r="I48" s="102"/>
      <c r="J48" s="30"/>
      <c r="K48" s="73" t="str">
        <f>IFERROR(VLOOKUP(B48,Modules!C:D,2,0),"")</f>
        <v/>
      </c>
      <c r="L48" s="69" t="str">
        <f>IFERROR(VLOOKUP($C48,Interventions!E:F,2,0),IFERROR(VLOOKUP($C48,Interventions!I:L,4,0),IFERROR(VLOOKUP($C48,Interventions!J:L,3,0),"")))</f>
        <v/>
      </c>
      <c r="M48" s="102" t="str">
        <f>IF(IF(Modules!$D$4="EUR",I48/($T$112),$I48)=0,"",IF(Modules!$D$4="EUR",I48/($T$112),$I48))</f>
        <v/>
      </c>
      <c r="N48" s="30" t="str">
        <f>CLEAN(IFERROR(VLOOKUP($C48,Interventions!$E$1:$K$407,7,0),""))</f>
        <v/>
      </c>
      <c r="O48" s="30" t="str">
        <f>CLEAN(IF(C48="","",CONCATENATE(Modules!$B$8,"/",'PAAR UPDATE'!N48,R48)))</f>
        <v/>
      </c>
      <c r="P48" s="10">
        <f>IFERROR(INDEX('Dropdown Data'!$D$33:$D$35,MATCH(A48,'Dropdown Data'!$B$33:$B$35,0)),IFERROR(INDEX('Dropdown Data'!$D$33:$D$35,MATCH(A48,'Dropdown Data'!$C$33:$C$35,0)),A48))</f>
        <v>0</v>
      </c>
      <c r="Q48" s="10">
        <f>IFERROR(INDEX('Dropdown Data'!$D$33:$D$36,MATCH(H48,'Dropdown Data'!$B$33:$B$36,0)),IFERROR(INDEX('Dropdown Data'!$D$33:$D$36,MATCH(H48,'Dropdown Data'!$C$33:$C$36,0)),H48))</f>
        <v>0</v>
      </c>
      <c r="R48" s="10">
        <v>19</v>
      </c>
      <c r="S48" s="10" t="b">
        <f t="shared" si="0"/>
        <v>1</v>
      </c>
      <c r="T48" s="10">
        <f t="shared" si="1"/>
        <v>10</v>
      </c>
      <c r="U48" s="10" t="e">
        <f>IFERROR(VLOOKUP(B48,Modules!$E$11:$K$25,6,0),IFERROR(VLOOKUP(B48,Modules!$F$11:$K$25,5,0),VLOOKUP(B48,Modules!$G$11:$K$25,4,0)))</f>
        <v>#N/A</v>
      </c>
      <c r="V48" s="10" t="e">
        <f>MATCH(U48,Interventions!C:C,0)</f>
        <v>#N/A</v>
      </c>
      <c r="W48" s="10" t="e">
        <f>MATCH(U48,Interventions!C:C,1)</f>
        <v>#N/A</v>
      </c>
    </row>
    <row r="49" spans="1:23" ht="39.9" customHeight="1" x14ac:dyDescent="0.35">
      <c r="A49" s="30"/>
      <c r="B49" s="71"/>
      <c r="C49" s="71"/>
      <c r="D49" s="103"/>
      <c r="E49" s="104" t="str">
        <f>IF(IF(Modules!$D$4="EUR",D49*($T$112),$D49)=0,"",IF(Modules!$D$4="EUR",D49*($T$112),$D49))</f>
        <v/>
      </c>
      <c r="F49" s="31"/>
      <c r="G49" s="31"/>
      <c r="H49" s="30"/>
      <c r="I49" s="102"/>
      <c r="J49" s="30"/>
      <c r="K49" s="73" t="str">
        <f>IFERROR(VLOOKUP(B49,Modules!C:D,2,0),"")</f>
        <v/>
      </c>
      <c r="L49" s="69" t="str">
        <f>IFERROR(VLOOKUP($C49,Interventions!E:F,2,0),IFERROR(VLOOKUP($C49,Interventions!I:L,4,0),IFERROR(VLOOKUP($C49,Interventions!J:L,3,0),"")))</f>
        <v/>
      </c>
      <c r="M49" s="102" t="str">
        <f>IF(IF(Modules!$D$4="EUR",I49/($T$112),$I49)=0,"",IF(Modules!$D$4="EUR",I49/($T$112),$I49))</f>
        <v/>
      </c>
      <c r="N49" s="30" t="str">
        <f>CLEAN(IFERROR(VLOOKUP($C49,Interventions!$E$1:$K$407,7,0),""))</f>
        <v/>
      </c>
      <c r="O49" s="30" t="str">
        <f>CLEAN(IF(C49="","",CONCATENATE(Modules!$B$8,"/",'PAAR UPDATE'!N49,R49)))</f>
        <v/>
      </c>
      <c r="P49" s="10">
        <f>IFERROR(INDEX('Dropdown Data'!$D$33:$D$35,MATCH(A49,'Dropdown Data'!$B$33:$B$35,0)),IFERROR(INDEX('Dropdown Data'!$D$33:$D$35,MATCH(A49,'Dropdown Data'!$C$33:$C$35,0)),A49))</f>
        <v>0</v>
      </c>
      <c r="Q49" s="10">
        <f>IFERROR(INDEX('Dropdown Data'!$D$33:$D$36,MATCH(H49,'Dropdown Data'!$B$33:$B$36,0)),IFERROR(INDEX('Dropdown Data'!$D$33:$D$36,MATCH(H49,'Dropdown Data'!$C$33:$C$36,0)),H49))</f>
        <v>0</v>
      </c>
      <c r="R49" s="10">
        <v>20</v>
      </c>
      <c r="S49" s="10" t="b">
        <f t="shared" si="0"/>
        <v>1</v>
      </c>
      <c r="T49" s="10">
        <f t="shared" si="1"/>
        <v>10</v>
      </c>
      <c r="U49" s="10" t="e">
        <f>IFERROR(VLOOKUP(B49,Modules!$E$11:$K$25,6,0),IFERROR(VLOOKUP(B49,Modules!$F$11:$K$25,5,0),VLOOKUP(B49,Modules!$G$11:$K$25,4,0)))</f>
        <v>#N/A</v>
      </c>
      <c r="V49" s="10" t="e">
        <f>MATCH(U49,Interventions!C:C,0)</f>
        <v>#N/A</v>
      </c>
      <c r="W49" s="10" t="e">
        <f>MATCH(U49,Interventions!C:C,1)</f>
        <v>#N/A</v>
      </c>
    </row>
    <row r="50" spans="1:23" ht="39.9" customHeight="1" x14ac:dyDescent="0.35">
      <c r="A50" s="30"/>
      <c r="B50" s="71"/>
      <c r="C50" s="71"/>
      <c r="D50" s="103"/>
      <c r="E50" s="104" t="str">
        <f>IF(IF(Modules!$D$4="EUR",D50*($T$112),$D50)=0,"",IF(Modules!$D$4="EUR",D50*($T$112),$D50))</f>
        <v/>
      </c>
      <c r="F50" s="31"/>
      <c r="G50" s="31"/>
      <c r="H50" s="30"/>
      <c r="I50" s="102"/>
      <c r="J50" s="30"/>
      <c r="K50" s="73" t="str">
        <f>IFERROR(VLOOKUP(B50,Modules!C:D,2,0),"")</f>
        <v/>
      </c>
      <c r="L50" s="69" t="str">
        <f>IFERROR(VLOOKUP($C50,Interventions!E:F,2,0),IFERROR(VLOOKUP($C50,Interventions!I:L,4,0),IFERROR(VLOOKUP($C50,Interventions!J:L,3,0),"")))</f>
        <v/>
      </c>
      <c r="M50" s="102" t="str">
        <f>IF(IF(Modules!$D$4="EUR",I50/($T$112),$I50)=0,"",IF(Modules!$D$4="EUR",I50/($T$112),$I50))</f>
        <v/>
      </c>
      <c r="N50" s="30" t="str">
        <f>CLEAN(IFERROR(VLOOKUP($C50,Interventions!$E$1:$K$407,7,0),""))</f>
        <v/>
      </c>
      <c r="O50" s="30" t="str">
        <f>CLEAN(IF(C50="","",CONCATENATE(Modules!$B$8,"/",'PAAR UPDATE'!N50,R50)))</f>
        <v/>
      </c>
      <c r="P50" s="10">
        <f>IFERROR(INDEX('Dropdown Data'!$D$33:$D$35,MATCH(A50,'Dropdown Data'!$B$33:$B$35,0)),IFERROR(INDEX('Dropdown Data'!$D$33:$D$35,MATCH(A50,'Dropdown Data'!$C$33:$C$35,0)),A50))</f>
        <v>0</v>
      </c>
      <c r="Q50" s="10">
        <f>IFERROR(INDEX('Dropdown Data'!$D$33:$D$36,MATCH(H50,'Dropdown Data'!$B$33:$B$36,0)),IFERROR(INDEX('Dropdown Data'!$D$33:$D$36,MATCH(H50,'Dropdown Data'!$C$33:$C$36,0)),H50))</f>
        <v>0</v>
      </c>
      <c r="R50" s="10">
        <v>21</v>
      </c>
      <c r="S50" s="10" t="b">
        <f t="shared" si="0"/>
        <v>1</v>
      </c>
      <c r="T50" s="10">
        <f t="shared" si="1"/>
        <v>10</v>
      </c>
      <c r="U50" s="10" t="e">
        <f>IFERROR(VLOOKUP(B50,Modules!$E$11:$K$25,6,0),IFERROR(VLOOKUP(B50,Modules!$F$11:$K$25,5,0),VLOOKUP(B50,Modules!$G$11:$K$25,4,0)))</f>
        <v>#N/A</v>
      </c>
      <c r="V50" s="10" t="e">
        <f>MATCH(U50,Interventions!C:C,0)</f>
        <v>#N/A</v>
      </c>
      <c r="W50" s="10" t="e">
        <f>MATCH(U50,Interventions!C:C,1)</f>
        <v>#N/A</v>
      </c>
    </row>
    <row r="51" spans="1:23" ht="39.9" customHeight="1" x14ac:dyDescent="0.35">
      <c r="A51" s="30"/>
      <c r="B51" s="71"/>
      <c r="C51" s="71"/>
      <c r="D51" s="103"/>
      <c r="E51" s="104" t="str">
        <f>IF(IF(Modules!$D$4="EUR",D51*($T$112),$D51)=0,"",IF(Modules!$D$4="EUR",D51*($T$112),$D51))</f>
        <v/>
      </c>
      <c r="F51" s="31"/>
      <c r="G51" s="31"/>
      <c r="H51" s="30"/>
      <c r="I51" s="102"/>
      <c r="J51" s="30"/>
      <c r="K51" s="73" t="str">
        <f>IFERROR(VLOOKUP(B51,Modules!C:D,2,0),"")</f>
        <v/>
      </c>
      <c r="L51" s="69" t="str">
        <f>IFERROR(VLOOKUP($C51,Interventions!E:F,2,0),IFERROR(VLOOKUP($C51,Interventions!I:L,4,0),IFERROR(VLOOKUP($C51,Interventions!J:L,3,0),"")))</f>
        <v/>
      </c>
      <c r="M51" s="102" t="str">
        <f>IF(IF(Modules!$D$4="EUR",I51/($T$112),$I51)=0,"",IF(Modules!$D$4="EUR",I51/($T$112),$I51))</f>
        <v/>
      </c>
      <c r="N51" s="30" t="str">
        <f>CLEAN(IFERROR(VLOOKUP($C51,Interventions!$E$1:$K$407,7,0),""))</f>
        <v/>
      </c>
      <c r="O51" s="30" t="str">
        <f>CLEAN(IF(C51="","",CONCATENATE(Modules!$B$8,"/",'PAAR UPDATE'!N51,R51)))</f>
        <v/>
      </c>
      <c r="P51" s="10">
        <f>IFERROR(INDEX('Dropdown Data'!$D$33:$D$35,MATCH(A51,'Dropdown Data'!$B$33:$B$35,0)),IFERROR(INDEX('Dropdown Data'!$D$33:$D$35,MATCH(A51,'Dropdown Data'!$C$33:$C$35,0)),A51))</f>
        <v>0</v>
      </c>
      <c r="Q51" s="10">
        <f>IFERROR(INDEX('Dropdown Data'!$D$33:$D$36,MATCH(H51,'Dropdown Data'!$B$33:$B$36,0)),IFERROR(INDEX('Dropdown Data'!$D$33:$D$36,MATCH(H51,'Dropdown Data'!$C$33:$C$36,0)),H51))</f>
        <v>0</v>
      </c>
      <c r="R51" s="10">
        <v>22</v>
      </c>
      <c r="S51" s="10" t="b">
        <f t="shared" si="0"/>
        <v>1</v>
      </c>
      <c r="T51" s="10">
        <f t="shared" si="1"/>
        <v>10</v>
      </c>
      <c r="U51" s="10" t="e">
        <f>IFERROR(VLOOKUP(B51,Modules!$E$11:$K$25,6,0),IFERROR(VLOOKUP(B51,Modules!$F$11:$K$25,5,0),VLOOKUP(B51,Modules!$G$11:$K$25,4,0)))</f>
        <v>#N/A</v>
      </c>
      <c r="V51" s="10" t="e">
        <f>MATCH(U51,Interventions!C:C,0)</f>
        <v>#N/A</v>
      </c>
      <c r="W51" s="10" t="e">
        <f>MATCH(U51,Interventions!C:C,1)</f>
        <v>#N/A</v>
      </c>
    </row>
    <row r="52" spans="1:23" ht="39.9" customHeight="1" x14ac:dyDescent="0.35">
      <c r="A52" s="30"/>
      <c r="B52" s="71"/>
      <c r="C52" s="71"/>
      <c r="D52" s="103"/>
      <c r="E52" s="104" t="str">
        <f>IF(IF(Modules!$D$4="EUR",D52*($T$112),$D52)=0,"",IF(Modules!$D$4="EUR",D52*($T$112),$D52))</f>
        <v/>
      </c>
      <c r="F52" s="31"/>
      <c r="G52" s="31"/>
      <c r="H52" s="30"/>
      <c r="I52" s="102"/>
      <c r="J52" s="30"/>
      <c r="K52" s="73" t="str">
        <f>IFERROR(VLOOKUP(B52,Modules!C:D,2,0),"")</f>
        <v/>
      </c>
      <c r="L52" s="69" t="str">
        <f>IFERROR(VLOOKUP($C52,Interventions!E:F,2,0),IFERROR(VLOOKUP($C52,Interventions!I:L,4,0),IFERROR(VLOOKUP($C52,Interventions!J:L,3,0),"")))</f>
        <v/>
      </c>
      <c r="M52" s="102" t="str">
        <f>IF(IF(Modules!$D$4="EUR",I52/($T$112),$I52)=0,"",IF(Modules!$D$4="EUR",I52/($T$112),$I52))</f>
        <v/>
      </c>
      <c r="N52" s="30" t="str">
        <f>CLEAN(IFERROR(VLOOKUP($C52,Interventions!$E$1:$K$407,7,0),""))</f>
        <v/>
      </c>
      <c r="O52" s="30" t="str">
        <f>CLEAN(IF(C52="","",CONCATENATE(Modules!$B$8,"/",'PAAR UPDATE'!N52,R52)))</f>
        <v/>
      </c>
      <c r="P52" s="10">
        <f>IFERROR(INDEX('Dropdown Data'!$D$33:$D$35,MATCH(A52,'Dropdown Data'!$B$33:$B$35,0)),IFERROR(INDEX('Dropdown Data'!$D$33:$D$35,MATCH(A52,'Dropdown Data'!$C$33:$C$35,0)),A52))</f>
        <v>0</v>
      </c>
      <c r="Q52" s="10">
        <f>IFERROR(INDEX('Dropdown Data'!$D$33:$D$36,MATCH(H52,'Dropdown Data'!$B$33:$B$36,0)),IFERROR(INDEX('Dropdown Data'!$D$33:$D$36,MATCH(H52,'Dropdown Data'!$C$33:$C$36,0)),H52))</f>
        <v>0</v>
      </c>
      <c r="R52" s="10">
        <v>23</v>
      </c>
      <c r="S52" s="10" t="b">
        <f t="shared" si="0"/>
        <v>1</v>
      </c>
      <c r="T52" s="10">
        <f t="shared" si="1"/>
        <v>10</v>
      </c>
      <c r="U52" s="10" t="e">
        <f>IFERROR(VLOOKUP(B52,Modules!$E$11:$K$25,6,0),IFERROR(VLOOKUP(B52,Modules!$F$11:$K$25,5,0),VLOOKUP(B52,Modules!$G$11:$K$25,4,0)))</f>
        <v>#N/A</v>
      </c>
      <c r="V52" s="10" t="e">
        <f>MATCH(U52,Interventions!C:C,0)</f>
        <v>#N/A</v>
      </c>
      <c r="W52" s="10" t="e">
        <f>MATCH(U52,Interventions!C:C,1)</f>
        <v>#N/A</v>
      </c>
    </row>
    <row r="53" spans="1:23" ht="39.9" customHeight="1" x14ac:dyDescent="0.35">
      <c r="A53" s="30"/>
      <c r="B53" s="71"/>
      <c r="C53" s="71"/>
      <c r="D53" s="103"/>
      <c r="E53" s="104" t="str">
        <f>IF(IF(Modules!$D$4="EUR",D53*($T$112),$D53)=0,"",IF(Modules!$D$4="EUR",D53*($T$112),$D53))</f>
        <v/>
      </c>
      <c r="F53" s="31"/>
      <c r="G53" s="31"/>
      <c r="H53" s="30"/>
      <c r="I53" s="102"/>
      <c r="J53" s="30"/>
      <c r="K53" s="73" t="str">
        <f>IFERROR(VLOOKUP(B53,Modules!C:D,2,0),"")</f>
        <v/>
      </c>
      <c r="L53" s="69" t="str">
        <f>IFERROR(VLOOKUP($C53,Interventions!E:F,2,0),IFERROR(VLOOKUP($C53,Interventions!I:L,4,0),IFERROR(VLOOKUP($C53,Interventions!J:L,3,0),"")))</f>
        <v/>
      </c>
      <c r="M53" s="102" t="str">
        <f>IF(IF(Modules!$D$4="EUR",I53/($T$112),$I53)=0,"",IF(Modules!$D$4="EUR",I53/($T$112),$I53))</f>
        <v/>
      </c>
      <c r="N53" s="30" t="str">
        <f>CLEAN(IFERROR(VLOOKUP($C53,Interventions!$E$1:$K$407,7,0),""))</f>
        <v/>
      </c>
      <c r="O53" s="30" t="str">
        <f>CLEAN(IF(C53="","",CONCATENATE(Modules!$B$8,"/",'PAAR UPDATE'!N53,R53)))</f>
        <v/>
      </c>
      <c r="P53" s="10">
        <f>IFERROR(INDEX('Dropdown Data'!$D$33:$D$35,MATCH(A53,'Dropdown Data'!$B$33:$B$35,0)),IFERROR(INDEX('Dropdown Data'!$D$33:$D$35,MATCH(A53,'Dropdown Data'!$C$33:$C$35,0)),A53))</f>
        <v>0</v>
      </c>
      <c r="Q53" s="10">
        <f>IFERROR(INDEX('Dropdown Data'!$D$33:$D$36,MATCH(H53,'Dropdown Data'!$B$33:$B$36,0)),IFERROR(INDEX('Dropdown Data'!$D$33:$D$36,MATCH(H53,'Dropdown Data'!$C$33:$C$36,0)),H53))</f>
        <v>0</v>
      </c>
      <c r="R53" s="10">
        <v>24</v>
      </c>
      <c r="S53" s="10" t="b">
        <f t="shared" si="0"/>
        <v>1</v>
      </c>
      <c r="T53" s="10">
        <f t="shared" si="1"/>
        <v>10</v>
      </c>
      <c r="U53" s="10" t="e">
        <f>IFERROR(VLOOKUP(B53,Modules!$E$11:$K$25,6,0),IFERROR(VLOOKUP(B53,Modules!$F$11:$K$25,5,0),VLOOKUP(B53,Modules!$G$11:$K$25,4,0)))</f>
        <v>#N/A</v>
      </c>
      <c r="V53" s="10" t="e">
        <f>MATCH(U53,Interventions!C:C,0)</f>
        <v>#N/A</v>
      </c>
      <c r="W53" s="10" t="e">
        <f>MATCH(U53,Interventions!C:C,1)</f>
        <v>#N/A</v>
      </c>
    </row>
    <row r="54" spans="1:23" ht="39.9" customHeight="1" x14ac:dyDescent="0.35">
      <c r="A54" s="30"/>
      <c r="B54" s="71"/>
      <c r="C54" s="71"/>
      <c r="D54" s="103"/>
      <c r="E54" s="104" t="str">
        <f>IF(IF(Modules!$D$4="EUR",D54*($T$112),$D54)=0,"",IF(Modules!$D$4="EUR",D54*($T$112),$D54))</f>
        <v/>
      </c>
      <c r="F54" s="31"/>
      <c r="G54" s="31"/>
      <c r="H54" s="30"/>
      <c r="I54" s="102"/>
      <c r="J54" s="30"/>
      <c r="K54" s="73" t="str">
        <f>IFERROR(VLOOKUP(B54,Modules!C:D,2,0),"")</f>
        <v/>
      </c>
      <c r="L54" s="69" t="str">
        <f>IFERROR(VLOOKUP($C54,Interventions!E:F,2,0),IFERROR(VLOOKUP($C54,Interventions!I:L,4,0),IFERROR(VLOOKUP($C54,Interventions!J:L,3,0),"")))</f>
        <v/>
      </c>
      <c r="M54" s="102" t="str">
        <f>IF(IF(Modules!$D$4="EUR",I54/($T$112),$I54)=0,"",IF(Modules!$D$4="EUR",I54/($T$112),$I54))</f>
        <v/>
      </c>
      <c r="N54" s="30" t="str">
        <f>CLEAN(IFERROR(VLOOKUP($C54,Interventions!$E$1:$K$407,7,0),""))</f>
        <v/>
      </c>
      <c r="O54" s="30" t="str">
        <f>CLEAN(IF(C54="","",CONCATENATE(Modules!$B$8,"/",'PAAR UPDATE'!N54,R54)))</f>
        <v/>
      </c>
      <c r="P54" s="10">
        <f>IFERROR(INDEX('Dropdown Data'!$D$33:$D$35,MATCH(A54,'Dropdown Data'!$B$33:$B$35,0)),IFERROR(INDEX('Dropdown Data'!$D$33:$D$35,MATCH(A54,'Dropdown Data'!$C$33:$C$35,0)),A54))</f>
        <v>0</v>
      </c>
      <c r="Q54" s="10">
        <f>IFERROR(INDEX('Dropdown Data'!$D$33:$D$36,MATCH(H54,'Dropdown Data'!$B$33:$B$36,0)),IFERROR(INDEX('Dropdown Data'!$D$33:$D$36,MATCH(H54,'Dropdown Data'!$C$33:$C$36,0)),H54))</f>
        <v>0</v>
      </c>
      <c r="R54" s="10">
        <v>25</v>
      </c>
      <c r="S54" s="10" t="b">
        <f t="shared" si="0"/>
        <v>1</v>
      </c>
      <c r="T54" s="10">
        <f t="shared" si="1"/>
        <v>10</v>
      </c>
      <c r="U54" s="10" t="e">
        <f>IFERROR(VLOOKUP(B54,Modules!$E$11:$K$25,6,0),IFERROR(VLOOKUP(B54,Modules!$F$11:$K$25,5,0),VLOOKUP(B54,Modules!$G$11:$K$25,4,0)))</f>
        <v>#N/A</v>
      </c>
      <c r="V54" s="10" t="e">
        <f>MATCH(U54,Interventions!C:C,0)</f>
        <v>#N/A</v>
      </c>
      <c r="W54" s="10" t="e">
        <f>MATCH(U54,Interventions!C:C,1)</f>
        <v>#N/A</v>
      </c>
    </row>
    <row r="55" spans="1:23" ht="39.9" customHeight="1" x14ac:dyDescent="0.35">
      <c r="A55" s="30"/>
      <c r="B55" s="71"/>
      <c r="C55" s="71"/>
      <c r="D55" s="103"/>
      <c r="E55" s="104" t="str">
        <f>IF(IF(Modules!$D$4="EUR",D55*($T$112),$D55)=0,"",IF(Modules!$D$4="EUR",D55*($T$112),$D55))</f>
        <v/>
      </c>
      <c r="F55" s="31"/>
      <c r="G55" s="31"/>
      <c r="H55" s="30"/>
      <c r="I55" s="102"/>
      <c r="J55" s="30"/>
      <c r="K55" s="73" t="str">
        <f>IFERROR(VLOOKUP(B55,Modules!C:D,2,0),"")</f>
        <v/>
      </c>
      <c r="L55" s="69" t="str">
        <f>IFERROR(VLOOKUP($C55,Interventions!E:F,2,0),IFERROR(VLOOKUP($C55,Interventions!I:L,4,0),IFERROR(VLOOKUP($C55,Interventions!J:L,3,0),"")))</f>
        <v/>
      </c>
      <c r="M55" s="102" t="str">
        <f>IF(IF(Modules!$D$4="EUR",I55/($T$112),$I55)=0,"",IF(Modules!$D$4="EUR",I55/($T$112),$I55))</f>
        <v/>
      </c>
      <c r="N55" s="30" t="str">
        <f>CLEAN(IFERROR(VLOOKUP($C55,Interventions!$E$1:$K$407,7,0),""))</f>
        <v/>
      </c>
      <c r="O55" s="30" t="str">
        <f>CLEAN(IF(C55="","",CONCATENATE(Modules!$B$8,"/",'PAAR UPDATE'!N55,R55)))</f>
        <v/>
      </c>
      <c r="P55" s="10">
        <f>IFERROR(INDEX('Dropdown Data'!$D$33:$D$35,MATCH(A55,'Dropdown Data'!$B$33:$B$35,0)),IFERROR(INDEX('Dropdown Data'!$D$33:$D$35,MATCH(A55,'Dropdown Data'!$C$33:$C$35,0)),A55))</f>
        <v>0</v>
      </c>
      <c r="Q55" s="10">
        <f>IFERROR(INDEX('Dropdown Data'!$D$33:$D$36,MATCH(H55,'Dropdown Data'!$B$33:$B$36,0)),IFERROR(INDEX('Dropdown Data'!$D$33:$D$36,MATCH(H55,'Dropdown Data'!$C$33:$C$36,0)),H55))</f>
        <v>0</v>
      </c>
      <c r="R55" s="10">
        <v>26</v>
      </c>
      <c r="S55" s="10" t="b">
        <f t="shared" si="0"/>
        <v>1</v>
      </c>
      <c r="T55" s="10">
        <f t="shared" si="1"/>
        <v>10</v>
      </c>
      <c r="U55" s="10" t="e">
        <f>IFERROR(VLOOKUP(B55,Modules!$E$11:$K$25,6,0),IFERROR(VLOOKUP(B55,Modules!$F$11:$K$25,5,0),VLOOKUP(B55,Modules!$G$11:$K$25,4,0)))</f>
        <v>#N/A</v>
      </c>
      <c r="V55" s="10" t="e">
        <f>MATCH(U55,Interventions!C:C,0)</f>
        <v>#N/A</v>
      </c>
      <c r="W55" s="10" t="e">
        <f>MATCH(U55,Interventions!C:C,1)</f>
        <v>#N/A</v>
      </c>
    </row>
    <row r="56" spans="1:23" ht="39.9" customHeight="1" x14ac:dyDescent="0.35">
      <c r="A56" s="30"/>
      <c r="B56" s="71"/>
      <c r="C56" s="71"/>
      <c r="D56" s="103"/>
      <c r="E56" s="104" t="str">
        <f>IF(IF(Modules!$D$4="EUR",D56*($T$112),$D56)=0,"",IF(Modules!$D$4="EUR",D56*($T$112),$D56))</f>
        <v/>
      </c>
      <c r="F56" s="31"/>
      <c r="G56" s="31"/>
      <c r="H56" s="30"/>
      <c r="I56" s="102"/>
      <c r="J56" s="30"/>
      <c r="K56" s="73" t="str">
        <f>IFERROR(VLOOKUP(B56,Modules!C:D,2,0),"")</f>
        <v/>
      </c>
      <c r="L56" s="69" t="str">
        <f>IFERROR(VLOOKUP($C56,Interventions!E:F,2,0),IFERROR(VLOOKUP($C56,Interventions!I:L,4,0),IFERROR(VLOOKUP($C56,Interventions!J:L,3,0),"")))</f>
        <v/>
      </c>
      <c r="M56" s="102" t="str">
        <f>IF(IF(Modules!$D$4="EUR",I56/($T$112),$I56)=0,"",IF(Modules!$D$4="EUR",I56/($T$112),$I56))</f>
        <v/>
      </c>
      <c r="N56" s="30" t="str">
        <f>CLEAN(IFERROR(VLOOKUP($C56,Interventions!$E$1:$K$407,7,0),""))</f>
        <v/>
      </c>
      <c r="O56" s="30" t="str">
        <f>CLEAN(IF(C56="","",CONCATENATE(Modules!$B$8,"/",'PAAR UPDATE'!N56,R56)))</f>
        <v/>
      </c>
      <c r="P56" s="10">
        <f>IFERROR(INDEX('Dropdown Data'!$D$33:$D$35,MATCH(A56,'Dropdown Data'!$B$33:$B$35,0)),IFERROR(INDEX('Dropdown Data'!$D$33:$D$35,MATCH(A56,'Dropdown Data'!$C$33:$C$35,0)),A56))</f>
        <v>0</v>
      </c>
      <c r="Q56" s="10">
        <f>IFERROR(INDEX('Dropdown Data'!$D$33:$D$36,MATCH(H56,'Dropdown Data'!$B$33:$B$36,0)),IFERROR(INDEX('Dropdown Data'!$D$33:$D$36,MATCH(H56,'Dropdown Data'!$C$33:$C$36,0)),H56))</f>
        <v>0</v>
      </c>
      <c r="R56" s="10">
        <v>27</v>
      </c>
      <c r="S56" s="10" t="b">
        <f t="shared" si="0"/>
        <v>1</v>
      </c>
      <c r="T56" s="10">
        <f t="shared" si="1"/>
        <v>10</v>
      </c>
      <c r="U56" s="10" t="e">
        <f>IFERROR(VLOOKUP(B56,Modules!$E$11:$K$25,6,0),IFERROR(VLOOKUP(B56,Modules!$F$11:$K$25,5,0),VLOOKUP(B56,Modules!$G$11:$K$25,4,0)))</f>
        <v>#N/A</v>
      </c>
      <c r="V56" s="10" t="e">
        <f>MATCH(U56,Interventions!C:C,0)</f>
        <v>#N/A</v>
      </c>
      <c r="W56" s="10" t="e">
        <f>MATCH(U56,Interventions!C:C,1)</f>
        <v>#N/A</v>
      </c>
    </row>
    <row r="57" spans="1:23" ht="39.9" customHeight="1" x14ac:dyDescent="0.35">
      <c r="A57" s="30"/>
      <c r="B57" s="71"/>
      <c r="C57" s="71"/>
      <c r="D57" s="103"/>
      <c r="E57" s="104" t="str">
        <f>IF(IF(Modules!$D$4="EUR",D57*($T$112),$D57)=0,"",IF(Modules!$D$4="EUR",D57*($T$112),$D57))</f>
        <v/>
      </c>
      <c r="F57" s="31"/>
      <c r="G57" s="31"/>
      <c r="H57" s="30"/>
      <c r="I57" s="102"/>
      <c r="J57" s="30"/>
      <c r="K57" s="73" t="str">
        <f>IFERROR(VLOOKUP(B57,Modules!C:D,2,0),"")</f>
        <v/>
      </c>
      <c r="L57" s="69" t="str">
        <f>IFERROR(VLOOKUP($C57,Interventions!E:F,2,0),IFERROR(VLOOKUP($C57,Interventions!I:L,4,0),IFERROR(VLOOKUP($C57,Interventions!J:L,3,0),"")))</f>
        <v/>
      </c>
      <c r="M57" s="102" t="str">
        <f>IF(IF(Modules!$D$4="EUR",I57/($T$112),$I57)=0,"",IF(Modules!$D$4="EUR",I57/($T$112),$I57))</f>
        <v/>
      </c>
      <c r="N57" s="30" t="str">
        <f>CLEAN(IFERROR(VLOOKUP($C57,Interventions!$E$1:$K$407,7,0),""))</f>
        <v/>
      </c>
      <c r="O57" s="30" t="str">
        <f>CLEAN(IF(C57="","",CONCATENATE(Modules!$B$8,"/",'PAAR UPDATE'!N57,R57)))</f>
        <v/>
      </c>
      <c r="P57" s="10">
        <f>IFERROR(INDEX('Dropdown Data'!$D$33:$D$35,MATCH(A57,'Dropdown Data'!$B$33:$B$35,0)),IFERROR(INDEX('Dropdown Data'!$D$33:$D$35,MATCH(A57,'Dropdown Data'!$C$33:$C$35,0)),A57))</f>
        <v>0</v>
      </c>
      <c r="Q57" s="10">
        <f>IFERROR(INDEX('Dropdown Data'!$D$33:$D$36,MATCH(H57,'Dropdown Data'!$B$33:$B$36,0)),IFERROR(INDEX('Dropdown Data'!$D$33:$D$36,MATCH(H57,'Dropdown Data'!$C$33:$C$36,0)),H57))</f>
        <v>0</v>
      </c>
      <c r="R57" s="10">
        <v>28</v>
      </c>
      <c r="S57" s="10" t="b">
        <f t="shared" si="0"/>
        <v>1</v>
      </c>
      <c r="T57" s="10">
        <f t="shared" si="1"/>
        <v>10</v>
      </c>
      <c r="U57" s="10" t="e">
        <f>IFERROR(VLOOKUP(B57,Modules!$E$11:$K$25,6,0),IFERROR(VLOOKUP(B57,Modules!$F$11:$K$25,5,0),VLOOKUP(B57,Modules!$G$11:$K$25,4,0)))</f>
        <v>#N/A</v>
      </c>
      <c r="V57" s="10" t="e">
        <f>MATCH(U57,Interventions!C:C,0)</f>
        <v>#N/A</v>
      </c>
      <c r="W57" s="10" t="e">
        <f>MATCH(U57,Interventions!C:C,1)</f>
        <v>#N/A</v>
      </c>
    </row>
    <row r="58" spans="1:23" ht="39.9" customHeight="1" x14ac:dyDescent="0.35">
      <c r="A58" s="30"/>
      <c r="B58" s="71"/>
      <c r="C58" s="71"/>
      <c r="D58" s="103"/>
      <c r="E58" s="104" t="str">
        <f>IF(IF(Modules!$D$4="EUR",D58*($T$112),$D58)=0,"",IF(Modules!$D$4="EUR",D58*($T$112),$D58))</f>
        <v/>
      </c>
      <c r="F58" s="31"/>
      <c r="G58" s="31"/>
      <c r="H58" s="30"/>
      <c r="I58" s="102"/>
      <c r="J58" s="30"/>
      <c r="K58" s="73" t="str">
        <f>IFERROR(VLOOKUP(B58,Modules!C:D,2,0),"")</f>
        <v/>
      </c>
      <c r="L58" s="69" t="str">
        <f>IFERROR(VLOOKUP($C58,Interventions!E:F,2,0),IFERROR(VLOOKUP($C58,Interventions!I:L,4,0),IFERROR(VLOOKUP($C58,Interventions!J:L,3,0),"")))</f>
        <v/>
      </c>
      <c r="M58" s="102" t="str">
        <f>IF(IF(Modules!$D$4="EUR",I58/($T$112),$I58)=0,"",IF(Modules!$D$4="EUR",I58/($T$112),$I58))</f>
        <v/>
      </c>
      <c r="N58" s="30" t="str">
        <f>CLEAN(IFERROR(VLOOKUP($C58,Interventions!$E$1:$K$407,7,0),""))</f>
        <v/>
      </c>
      <c r="O58" s="30" t="str">
        <f>CLEAN(IF(C58="","",CONCATENATE(Modules!$B$8,"/",'PAAR UPDATE'!N58,R58)))</f>
        <v/>
      </c>
      <c r="P58" s="10">
        <f>IFERROR(INDEX('Dropdown Data'!$D$33:$D$35,MATCH(A58,'Dropdown Data'!$B$33:$B$35,0)),IFERROR(INDEX('Dropdown Data'!$D$33:$D$35,MATCH(A58,'Dropdown Data'!$C$33:$C$35,0)),A58))</f>
        <v>0</v>
      </c>
      <c r="Q58" s="10">
        <f>IFERROR(INDEX('Dropdown Data'!$D$33:$D$36,MATCH(H58,'Dropdown Data'!$B$33:$B$36,0)),IFERROR(INDEX('Dropdown Data'!$D$33:$D$36,MATCH(H58,'Dropdown Data'!$C$33:$C$36,0)),H58))</f>
        <v>0</v>
      </c>
      <c r="R58" s="10">
        <v>29</v>
      </c>
      <c r="S58" s="10" t="b">
        <f t="shared" si="0"/>
        <v>1</v>
      </c>
      <c r="T58" s="10">
        <f t="shared" si="1"/>
        <v>10</v>
      </c>
      <c r="U58" s="10" t="e">
        <f>IFERROR(VLOOKUP(B58,Modules!$E$11:$K$25,6,0),IFERROR(VLOOKUP(B58,Modules!$F$11:$K$25,5,0),VLOOKUP(B58,Modules!$G$11:$K$25,4,0)))</f>
        <v>#N/A</v>
      </c>
      <c r="V58" s="10" t="e">
        <f>MATCH(U58,Interventions!C:C,0)</f>
        <v>#N/A</v>
      </c>
      <c r="W58" s="10" t="e">
        <f>MATCH(U58,Interventions!C:C,1)</f>
        <v>#N/A</v>
      </c>
    </row>
    <row r="59" spans="1:23" ht="39.9" customHeight="1" x14ac:dyDescent="0.35">
      <c r="A59" s="30"/>
      <c r="B59" s="71"/>
      <c r="C59" s="71"/>
      <c r="D59" s="103"/>
      <c r="E59" s="104" t="str">
        <f>IF(IF(Modules!$D$4="EUR",D59*($T$112),$D59)=0,"",IF(Modules!$D$4="EUR",D59*($T$112),$D59))</f>
        <v/>
      </c>
      <c r="F59" s="31"/>
      <c r="G59" s="31"/>
      <c r="H59" s="30"/>
      <c r="I59" s="102"/>
      <c r="J59" s="30"/>
      <c r="K59" s="73" t="str">
        <f>IFERROR(VLOOKUP(B59,Modules!C:D,2,0),"")</f>
        <v/>
      </c>
      <c r="L59" s="69" t="str">
        <f>IFERROR(VLOOKUP($C59,Interventions!E:F,2,0),IFERROR(VLOOKUP($C59,Interventions!I:L,4,0),IFERROR(VLOOKUP($C59,Interventions!J:L,3,0),"")))</f>
        <v/>
      </c>
      <c r="M59" s="102" t="str">
        <f>IF(IF(Modules!$D$4="EUR",I59/($T$112),$I59)=0,"",IF(Modules!$D$4="EUR",I59/($T$112),$I59))</f>
        <v/>
      </c>
      <c r="N59" s="30" t="str">
        <f>CLEAN(IFERROR(VLOOKUP($C59,Interventions!$E$1:$K$407,7,0),""))</f>
        <v/>
      </c>
      <c r="O59" s="30" t="str">
        <f>CLEAN(IF(C59="","",CONCATENATE(Modules!$B$8,"/",'PAAR UPDATE'!N59,R59)))</f>
        <v/>
      </c>
      <c r="P59" s="10">
        <f>IFERROR(INDEX('Dropdown Data'!$D$33:$D$35,MATCH(A59,'Dropdown Data'!$B$33:$B$35,0)),IFERROR(INDEX('Dropdown Data'!$D$33:$D$35,MATCH(A59,'Dropdown Data'!$C$33:$C$35,0)),A59))</f>
        <v>0</v>
      </c>
      <c r="Q59" s="10">
        <f>IFERROR(INDEX('Dropdown Data'!$D$33:$D$36,MATCH(H59,'Dropdown Data'!$B$33:$B$36,0)),IFERROR(INDEX('Dropdown Data'!$D$33:$D$36,MATCH(H59,'Dropdown Data'!$C$33:$C$36,0)),H59))</f>
        <v>0</v>
      </c>
      <c r="R59" s="10">
        <v>30</v>
      </c>
      <c r="S59" s="10" t="b">
        <f t="shared" si="0"/>
        <v>1</v>
      </c>
      <c r="T59" s="10">
        <f t="shared" si="1"/>
        <v>10</v>
      </c>
      <c r="U59" s="10" t="e">
        <f>IFERROR(VLOOKUP(B59,Modules!$E$11:$K$25,6,0),IFERROR(VLOOKUP(B59,Modules!$F$11:$K$25,5,0),VLOOKUP(B59,Modules!$G$11:$K$25,4,0)))</f>
        <v>#N/A</v>
      </c>
      <c r="V59" s="10" t="e">
        <f>MATCH(U59,Interventions!C:C,0)</f>
        <v>#N/A</v>
      </c>
      <c r="W59" s="10" t="e">
        <f>MATCH(U59,Interventions!C:C,1)</f>
        <v>#N/A</v>
      </c>
    </row>
    <row r="60" spans="1:23" ht="39.9" customHeight="1" x14ac:dyDescent="0.35">
      <c r="A60" s="30"/>
      <c r="B60" s="71"/>
      <c r="C60" s="71"/>
      <c r="D60" s="103"/>
      <c r="E60" s="104" t="str">
        <f>IF(IF(Modules!$D$4="EUR",D60*($T$112),$D60)=0,"",IF(Modules!$D$4="EUR",D60*($T$112),$D60))</f>
        <v/>
      </c>
      <c r="F60" s="31"/>
      <c r="G60" s="31"/>
      <c r="H60" s="30"/>
      <c r="I60" s="102"/>
      <c r="J60" s="30"/>
      <c r="K60" s="73" t="str">
        <f>IFERROR(VLOOKUP(B60,Modules!C:D,2,0),"")</f>
        <v/>
      </c>
      <c r="L60" s="69" t="str">
        <f>IFERROR(VLOOKUP($C60,Interventions!E:F,2,0),IFERROR(VLOOKUP($C60,Interventions!I:L,4,0),IFERROR(VLOOKUP($C60,Interventions!J:L,3,0),"")))</f>
        <v/>
      </c>
      <c r="M60" s="102" t="str">
        <f>IF(IF(Modules!$D$4="EUR",I60/($T$112),$I60)=0,"",IF(Modules!$D$4="EUR",I60/($T$112),$I60))</f>
        <v/>
      </c>
      <c r="N60" s="30" t="str">
        <f>CLEAN(IFERROR(VLOOKUP($C60,Interventions!$E$1:$K$407,7,0),""))</f>
        <v/>
      </c>
      <c r="O60" s="30" t="str">
        <f>CLEAN(IF(C60="","",CONCATENATE(Modules!$B$8,"/",'PAAR UPDATE'!N60,R60)))</f>
        <v/>
      </c>
      <c r="P60" s="10">
        <f>IFERROR(INDEX('Dropdown Data'!$D$33:$D$35,MATCH(A60,'Dropdown Data'!$B$33:$B$35,0)),IFERROR(INDEX('Dropdown Data'!$D$33:$D$35,MATCH(A60,'Dropdown Data'!$C$33:$C$35,0)),A60))</f>
        <v>0</v>
      </c>
      <c r="Q60" s="10">
        <f>IFERROR(INDEX('Dropdown Data'!$D$33:$D$36,MATCH(H60,'Dropdown Data'!$B$33:$B$36,0)),IFERROR(INDEX('Dropdown Data'!$D$33:$D$36,MATCH(H60,'Dropdown Data'!$C$33:$C$36,0)),H60))</f>
        <v>0</v>
      </c>
      <c r="R60" s="10">
        <v>31</v>
      </c>
      <c r="S60" s="10" t="b">
        <f t="shared" si="0"/>
        <v>1</v>
      </c>
      <c r="T60" s="10">
        <f t="shared" si="1"/>
        <v>10</v>
      </c>
      <c r="U60" s="10" t="e">
        <f>IFERROR(VLOOKUP(B60,Modules!$E$11:$K$25,6,0),IFERROR(VLOOKUP(B60,Modules!$F$11:$K$25,5,0),VLOOKUP(B60,Modules!$G$11:$K$25,4,0)))</f>
        <v>#N/A</v>
      </c>
      <c r="V60" s="10" t="e">
        <f>MATCH(U60,Interventions!C:C,0)</f>
        <v>#N/A</v>
      </c>
      <c r="W60" s="10" t="e">
        <f>MATCH(U60,Interventions!C:C,1)</f>
        <v>#N/A</v>
      </c>
    </row>
    <row r="61" spans="1:23" ht="39.9" customHeight="1" x14ac:dyDescent="0.35">
      <c r="A61" s="30"/>
      <c r="B61" s="71"/>
      <c r="C61" s="71"/>
      <c r="D61" s="103"/>
      <c r="E61" s="104" t="str">
        <f>IF(IF(Modules!$D$4="EUR",D61*($T$112),$D61)=0,"",IF(Modules!$D$4="EUR",D61*($T$112),$D61))</f>
        <v/>
      </c>
      <c r="F61" s="31"/>
      <c r="G61" s="31"/>
      <c r="H61" s="30"/>
      <c r="I61" s="102"/>
      <c r="J61" s="30"/>
      <c r="K61" s="73" t="str">
        <f>IFERROR(VLOOKUP(B61,Modules!C:D,2,0),"")</f>
        <v/>
      </c>
      <c r="L61" s="69" t="str">
        <f>IFERROR(VLOOKUP($C61,Interventions!E:F,2,0),IFERROR(VLOOKUP($C61,Interventions!I:L,4,0),IFERROR(VLOOKUP($C61,Interventions!J:L,3,0),"")))</f>
        <v/>
      </c>
      <c r="M61" s="102" t="str">
        <f>IF(IF(Modules!$D$4="EUR",I61/($T$112),$I61)=0,"",IF(Modules!$D$4="EUR",I61/($T$112),$I61))</f>
        <v/>
      </c>
      <c r="N61" s="30" t="str">
        <f>CLEAN(IFERROR(VLOOKUP($C61,Interventions!$E$1:$K$407,7,0),""))</f>
        <v/>
      </c>
      <c r="O61" s="30" t="str">
        <f>CLEAN(IF(C61="","",CONCATENATE(Modules!$B$8,"/",'PAAR UPDATE'!N61,R61)))</f>
        <v/>
      </c>
      <c r="P61" s="10">
        <f>IFERROR(INDEX('Dropdown Data'!$D$33:$D$35,MATCH(A61,'Dropdown Data'!$B$33:$B$35,0)),IFERROR(INDEX('Dropdown Data'!$D$33:$D$35,MATCH(A61,'Dropdown Data'!$C$33:$C$35,0)),A61))</f>
        <v>0</v>
      </c>
      <c r="Q61" s="10">
        <f>IFERROR(INDEX('Dropdown Data'!$D$33:$D$36,MATCH(H61,'Dropdown Data'!$B$33:$B$36,0)),IFERROR(INDEX('Dropdown Data'!$D$33:$D$36,MATCH(H61,'Dropdown Data'!$C$33:$C$36,0)),H61))</f>
        <v>0</v>
      </c>
      <c r="R61" s="10">
        <v>32</v>
      </c>
      <c r="S61" s="10" t="b">
        <f t="shared" si="0"/>
        <v>1</v>
      </c>
      <c r="T61" s="10">
        <f t="shared" si="1"/>
        <v>10</v>
      </c>
      <c r="U61" s="10" t="e">
        <f>IFERROR(VLOOKUP(B61,Modules!$E$11:$K$25,6,0),IFERROR(VLOOKUP(B61,Modules!$F$11:$K$25,5,0),VLOOKUP(B61,Modules!$G$11:$K$25,4,0)))</f>
        <v>#N/A</v>
      </c>
      <c r="V61" s="10" t="e">
        <f>MATCH(U61,Interventions!C:C,0)</f>
        <v>#N/A</v>
      </c>
      <c r="W61" s="10" t="e">
        <f>MATCH(U61,Interventions!C:C,1)</f>
        <v>#N/A</v>
      </c>
    </row>
    <row r="62" spans="1:23" ht="39.9" customHeight="1" x14ac:dyDescent="0.35">
      <c r="A62" s="30"/>
      <c r="B62" s="71"/>
      <c r="C62" s="71"/>
      <c r="D62" s="103"/>
      <c r="E62" s="104" t="str">
        <f>IF(IF(Modules!$D$4="EUR",D62*($T$112),$D62)=0,"",IF(Modules!$D$4="EUR",D62*($T$112),$D62))</f>
        <v/>
      </c>
      <c r="F62" s="31"/>
      <c r="G62" s="31"/>
      <c r="H62" s="30"/>
      <c r="I62" s="102"/>
      <c r="J62" s="30"/>
      <c r="K62" s="73" t="str">
        <f>IFERROR(VLOOKUP(B62,Modules!C:D,2,0),"")</f>
        <v/>
      </c>
      <c r="L62" s="69" t="str">
        <f>IFERROR(VLOOKUP($C62,Interventions!E:F,2,0),IFERROR(VLOOKUP($C62,Interventions!I:L,4,0),IFERROR(VLOOKUP($C62,Interventions!J:L,3,0),"")))</f>
        <v/>
      </c>
      <c r="M62" s="102" t="str">
        <f>IF(IF(Modules!$D$4="EUR",I62/($T$112),$I62)=0,"",IF(Modules!$D$4="EUR",I62/($T$112),$I62))</f>
        <v/>
      </c>
      <c r="N62" s="30" t="str">
        <f>CLEAN(IFERROR(VLOOKUP($C62,Interventions!$E$1:$K$407,7,0),""))</f>
        <v/>
      </c>
      <c r="O62" s="30" t="str">
        <f>CLEAN(IF(C62="","",CONCATENATE(Modules!$B$8,"/",'PAAR UPDATE'!N62,R62)))</f>
        <v/>
      </c>
      <c r="P62" s="10">
        <f>IFERROR(INDEX('Dropdown Data'!$D$33:$D$35,MATCH(A62,'Dropdown Data'!$B$33:$B$35,0)),IFERROR(INDEX('Dropdown Data'!$D$33:$D$35,MATCH(A62,'Dropdown Data'!$C$33:$C$35,0)),A62))</f>
        <v>0</v>
      </c>
      <c r="Q62" s="10">
        <f>IFERROR(INDEX('Dropdown Data'!$D$33:$D$36,MATCH(H62,'Dropdown Data'!$B$33:$B$36,0)),IFERROR(INDEX('Dropdown Data'!$D$33:$D$36,MATCH(H62,'Dropdown Data'!$C$33:$C$36,0)),H62))</f>
        <v>0</v>
      </c>
      <c r="R62" s="10">
        <v>33</v>
      </c>
      <c r="S62" s="10" t="b">
        <f t="shared" ref="S62:S93" si="2">IF(AND($B$17&gt;0,NOT(ISBLANK(E62)),(OR(ISBLANK(I62),ISBLANK(H62)))),TRUE,FALSE)</f>
        <v>1</v>
      </c>
      <c r="T62" s="10">
        <f t="shared" ref="T62:T93" si="3">COUNTBLANK(A62:J62)</f>
        <v>10</v>
      </c>
      <c r="U62" s="10" t="e">
        <f>IFERROR(VLOOKUP(B62,Modules!$E$11:$K$25,6,0),IFERROR(VLOOKUP(B62,Modules!$F$11:$K$25,5,0),VLOOKUP(B62,Modules!$G$11:$K$25,4,0)))</f>
        <v>#N/A</v>
      </c>
      <c r="V62" s="10" t="e">
        <f>MATCH(U62,Interventions!C:C,0)</f>
        <v>#N/A</v>
      </c>
      <c r="W62" s="10" t="e">
        <f>MATCH(U62,Interventions!C:C,1)</f>
        <v>#N/A</v>
      </c>
    </row>
    <row r="63" spans="1:23" ht="39.9" customHeight="1" x14ac:dyDescent="0.35">
      <c r="A63" s="30"/>
      <c r="B63" s="71"/>
      <c r="C63" s="71"/>
      <c r="D63" s="103"/>
      <c r="E63" s="104" t="str">
        <f>IF(IF(Modules!$D$4="EUR",D63*($T$112),$D63)=0,"",IF(Modules!$D$4="EUR",D63*($T$112),$D63))</f>
        <v/>
      </c>
      <c r="F63" s="31"/>
      <c r="G63" s="31"/>
      <c r="H63" s="30"/>
      <c r="I63" s="102"/>
      <c r="J63" s="30"/>
      <c r="K63" s="73" t="str">
        <f>IFERROR(VLOOKUP(B63,Modules!C:D,2,0),"")</f>
        <v/>
      </c>
      <c r="L63" s="69" t="str">
        <f>IFERROR(VLOOKUP($C63,Interventions!E:F,2,0),IFERROR(VLOOKUP($C63,Interventions!I:L,4,0),IFERROR(VLOOKUP($C63,Interventions!J:L,3,0),"")))</f>
        <v/>
      </c>
      <c r="M63" s="102" t="str">
        <f>IF(IF(Modules!$D$4="EUR",I63/($T$112),$I63)=0,"",IF(Modules!$D$4="EUR",I63/($T$112),$I63))</f>
        <v/>
      </c>
      <c r="N63" s="30" t="str">
        <f>CLEAN(IFERROR(VLOOKUP($C63,Interventions!$E$1:$K$407,7,0),""))</f>
        <v/>
      </c>
      <c r="O63" s="30" t="str">
        <f>CLEAN(IF(C63="","",CONCATENATE(Modules!$B$8,"/",'PAAR UPDATE'!N63,R63)))</f>
        <v/>
      </c>
      <c r="P63" s="10">
        <f>IFERROR(INDEX('Dropdown Data'!$D$33:$D$35,MATCH(A63,'Dropdown Data'!$B$33:$B$35,0)),IFERROR(INDEX('Dropdown Data'!$D$33:$D$35,MATCH(A63,'Dropdown Data'!$C$33:$C$35,0)),A63))</f>
        <v>0</v>
      </c>
      <c r="Q63" s="10">
        <f>IFERROR(INDEX('Dropdown Data'!$D$33:$D$36,MATCH(H63,'Dropdown Data'!$B$33:$B$36,0)),IFERROR(INDEX('Dropdown Data'!$D$33:$D$36,MATCH(H63,'Dropdown Data'!$C$33:$C$36,0)),H63))</f>
        <v>0</v>
      </c>
      <c r="R63" s="10">
        <v>34</v>
      </c>
      <c r="S63" s="10" t="b">
        <f t="shared" si="2"/>
        <v>1</v>
      </c>
      <c r="T63" s="10">
        <f t="shared" si="3"/>
        <v>10</v>
      </c>
      <c r="U63" s="10" t="e">
        <f>IFERROR(VLOOKUP(B63,Modules!$E$11:$K$25,6,0),IFERROR(VLOOKUP(B63,Modules!$F$11:$K$25,5,0),VLOOKUP(B63,Modules!$G$11:$K$25,4,0)))</f>
        <v>#N/A</v>
      </c>
      <c r="V63" s="10" t="e">
        <f>MATCH(U63,Interventions!C:C,0)</f>
        <v>#N/A</v>
      </c>
      <c r="W63" s="10" t="e">
        <f>MATCH(U63,Interventions!C:C,1)</f>
        <v>#N/A</v>
      </c>
    </row>
    <row r="64" spans="1:23" ht="39.9" customHeight="1" x14ac:dyDescent="0.35">
      <c r="A64" s="30"/>
      <c r="B64" s="71"/>
      <c r="C64" s="71"/>
      <c r="D64" s="103"/>
      <c r="E64" s="104" t="str">
        <f>IF(IF(Modules!$D$4="EUR",D64*($T$112),$D64)=0,"",IF(Modules!$D$4="EUR",D64*($T$112),$D64))</f>
        <v/>
      </c>
      <c r="F64" s="31"/>
      <c r="G64" s="31"/>
      <c r="H64" s="30"/>
      <c r="I64" s="102"/>
      <c r="J64" s="30"/>
      <c r="K64" s="73" t="str">
        <f>IFERROR(VLOOKUP(B64,Modules!C:D,2,0),"")</f>
        <v/>
      </c>
      <c r="L64" s="69" t="str">
        <f>IFERROR(VLOOKUP($C64,Interventions!E:F,2,0),IFERROR(VLOOKUP($C64,Interventions!I:L,4,0),IFERROR(VLOOKUP($C64,Interventions!J:L,3,0),"")))</f>
        <v/>
      </c>
      <c r="M64" s="102" t="str">
        <f>IF(IF(Modules!$D$4="EUR",I64/($T$112),$I64)=0,"",IF(Modules!$D$4="EUR",I64/($T$112),$I64))</f>
        <v/>
      </c>
      <c r="N64" s="30" t="str">
        <f>CLEAN(IFERROR(VLOOKUP($C64,Interventions!$E$1:$K$407,7,0),""))</f>
        <v/>
      </c>
      <c r="O64" s="30" t="str">
        <f>CLEAN(IF(C64="","",CONCATENATE(Modules!$B$8,"/",'PAAR UPDATE'!N64,R64)))</f>
        <v/>
      </c>
      <c r="P64" s="10">
        <f>IFERROR(INDEX('Dropdown Data'!$D$33:$D$35,MATCH(A64,'Dropdown Data'!$B$33:$B$35,0)),IFERROR(INDEX('Dropdown Data'!$D$33:$D$35,MATCH(A64,'Dropdown Data'!$C$33:$C$35,0)),A64))</f>
        <v>0</v>
      </c>
      <c r="Q64" s="10">
        <f>IFERROR(INDEX('Dropdown Data'!$D$33:$D$36,MATCH(H64,'Dropdown Data'!$B$33:$B$36,0)),IFERROR(INDEX('Dropdown Data'!$D$33:$D$36,MATCH(H64,'Dropdown Data'!$C$33:$C$36,0)),H64))</f>
        <v>0</v>
      </c>
      <c r="R64" s="10">
        <v>35</v>
      </c>
      <c r="S64" s="10" t="b">
        <f t="shared" si="2"/>
        <v>1</v>
      </c>
      <c r="T64" s="10">
        <f t="shared" si="3"/>
        <v>10</v>
      </c>
      <c r="U64" s="10" t="e">
        <f>IFERROR(VLOOKUP(B64,Modules!$E$11:$K$25,6,0),IFERROR(VLOOKUP(B64,Modules!$F$11:$K$25,5,0),VLOOKUP(B64,Modules!$G$11:$K$25,4,0)))</f>
        <v>#N/A</v>
      </c>
      <c r="V64" s="10" t="e">
        <f>MATCH(U64,Interventions!C:C,0)</f>
        <v>#N/A</v>
      </c>
      <c r="W64" s="10" t="e">
        <f>MATCH(U64,Interventions!C:C,1)</f>
        <v>#N/A</v>
      </c>
    </row>
    <row r="65" spans="1:23" ht="39.9" customHeight="1" x14ac:dyDescent="0.35">
      <c r="A65" s="30"/>
      <c r="B65" s="71"/>
      <c r="C65" s="71"/>
      <c r="D65" s="103"/>
      <c r="E65" s="104" t="str">
        <f>IF(IF(Modules!$D$4="EUR",D65*($T$112),$D65)=0,"",IF(Modules!$D$4="EUR",D65*($T$112),$D65))</f>
        <v/>
      </c>
      <c r="F65" s="31"/>
      <c r="G65" s="31"/>
      <c r="H65" s="30"/>
      <c r="I65" s="102"/>
      <c r="J65" s="30"/>
      <c r="K65" s="73" t="str">
        <f>IFERROR(VLOOKUP(B65,Modules!C:D,2,0),"")</f>
        <v/>
      </c>
      <c r="L65" s="69" t="str">
        <f>IFERROR(VLOOKUP($C65,Interventions!E:F,2,0),IFERROR(VLOOKUP($C65,Interventions!I:L,4,0),IFERROR(VLOOKUP($C65,Interventions!J:L,3,0),"")))</f>
        <v/>
      </c>
      <c r="M65" s="102" t="str">
        <f>IF(IF(Modules!$D$4="EUR",I65/($T$112),$I65)=0,"",IF(Modules!$D$4="EUR",I65/($T$112),$I65))</f>
        <v/>
      </c>
      <c r="N65" s="30" t="str">
        <f>CLEAN(IFERROR(VLOOKUP($C65,Interventions!$E$1:$K$407,7,0),""))</f>
        <v/>
      </c>
      <c r="O65" s="30" t="str">
        <f>CLEAN(IF(C65="","",CONCATENATE(Modules!$B$8,"/",'PAAR UPDATE'!N65,R65)))</f>
        <v/>
      </c>
      <c r="P65" s="10">
        <f>IFERROR(INDEX('Dropdown Data'!$D$33:$D$35,MATCH(A65,'Dropdown Data'!$B$33:$B$35,0)),IFERROR(INDEX('Dropdown Data'!$D$33:$D$35,MATCH(A65,'Dropdown Data'!$C$33:$C$35,0)),A65))</f>
        <v>0</v>
      </c>
      <c r="Q65" s="10">
        <f>IFERROR(INDEX('Dropdown Data'!$D$33:$D$36,MATCH(H65,'Dropdown Data'!$B$33:$B$36,0)),IFERROR(INDEX('Dropdown Data'!$D$33:$D$36,MATCH(H65,'Dropdown Data'!$C$33:$C$36,0)),H65))</f>
        <v>0</v>
      </c>
      <c r="R65" s="10">
        <v>36</v>
      </c>
      <c r="S65" s="10" t="b">
        <f t="shared" si="2"/>
        <v>1</v>
      </c>
      <c r="T65" s="10">
        <f t="shared" si="3"/>
        <v>10</v>
      </c>
      <c r="U65" s="10" t="e">
        <f>IFERROR(VLOOKUP(B65,Modules!$E$11:$K$25,6,0),IFERROR(VLOOKUP(B65,Modules!$F$11:$K$25,5,0),VLOOKUP(B65,Modules!$G$11:$K$25,4,0)))</f>
        <v>#N/A</v>
      </c>
      <c r="V65" s="10" t="e">
        <f>MATCH(U65,Interventions!C:C,0)</f>
        <v>#N/A</v>
      </c>
      <c r="W65" s="10" t="e">
        <f>MATCH(U65,Interventions!C:C,1)</f>
        <v>#N/A</v>
      </c>
    </row>
    <row r="66" spans="1:23" ht="39.9" customHeight="1" x14ac:dyDescent="0.35">
      <c r="A66" s="30"/>
      <c r="B66" s="71"/>
      <c r="C66" s="71"/>
      <c r="D66" s="103"/>
      <c r="E66" s="104" t="str">
        <f>IF(IF(Modules!$D$4="EUR",D66*($T$112),$D66)=0,"",IF(Modules!$D$4="EUR",D66*($T$112),$D66))</f>
        <v/>
      </c>
      <c r="F66" s="31"/>
      <c r="G66" s="31"/>
      <c r="H66" s="30"/>
      <c r="I66" s="102"/>
      <c r="J66" s="30"/>
      <c r="K66" s="73" t="str">
        <f>IFERROR(VLOOKUP(B66,Modules!C:D,2,0),"")</f>
        <v/>
      </c>
      <c r="L66" s="69" t="str">
        <f>IFERROR(VLOOKUP($C66,Interventions!E:F,2,0),IFERROR(VLOOKUP($C66,Interventions!I:L,4,0),IFERROR(VLOOKUP($C66,Interventions!J:L,3,0),"")))</f>
        <v/>
      </c>
      <c r="M66" s="102" t="str">
        <f>IF(IF(Modules!$D$4="EUR",I66/($T$112),$I66)=0,"",IF(Modules!$D$4="EUR",I66/($T$112),$I66))</f>
        <v/>
      </c>
      <c r="N66" s="30" t="str">
        <f>CLEAN(IFERROR(VLOOKUP($C66,Interventions!$E$1:$K$407,7,0),""))</f>
        <v/>
      </c>
      <c r="O66" s="30" t="str">
        <f>CLEAN(IF(C66="","",CONCATENATE(Modules!$B$8,"/",'PAAR UPDATE'!N66,R66)))</f>
        <v/>
      </c>
      <c r="P66" s="10">
        <f>IFERROR(INDEX('Dropdown Data'!$D$33:$D$35,MATCH(A66,'Dropdown Data'!$B$33:$B$35,0)),IFERROR(INDEX('Dropdown Data'!$D$33:$D$35,MATCH(A66,'Dropdown Data'!$C$33:$C$35,0)),A66))</f>
        <v>0</v>
      </c>
      <c r="Q66" s="10">
        <f>IFERROR(INDEX('Dropdown Data'!$D$33:$D$36,MATCH(H66,'Dropdown Data'!$B$33:$B$36,0)),IFERROR(INDEX('Dropdown Data'!$D$33:$D$36,MATCH(H66,'Dropdown Data'!$C$33:$C$36,0)),H66))</f>
        <v>0</v>
      </c>
      <c r="R66" s="10">
        <v>37</v>
      </c>
      <c r="S66" s="10" t="b">
        <f t="shared" si="2"/>
        <v>1</v>
      </c>
      <c r="T66" s="10">
        <f t="shared" si="3"/>
        <v>10</v>
      </c>
      <c r="U66" s="10" t="e">
        <f>IFERROR(VLOOKUP(B66,Modules!$E$11:$K$25,6,0),IFERROR(VLOOKUP(B66,Modules!$F$11:$K$25,5,0),VLOOKUP(B66,Modules!$G$11:$K$25,4,0)))</f>
        <v>#N/A</v>
      </c>
      <c r="V66" s="10" t="e">
        <f>MATCH(U66,Interventions!C:C,0)</f>
        <v>#N/A</v>
      </c>
      <c r="W66" s="10" t="e">
        <f>MATCH(U66,Interventions!C:C,1)</f>
        <v>#N/A</v>
      </c>
    </row>
    <row r="67" spans="1:23" ht="39.9" customHeight="1" x14ac:dyDescent="0.35">
      <c r="A67" s="30"/>
      <c r="B67" s="71"/>
      <c r="C67" s="71"/>
      <c r="D67" s="103"/>
      <c r="E67" s="104" t="str">
        <f>IF(IF(Modules!$D$4="EUR",D67*($T$112),$D67)=0,"",IF(Modules!$D$4="EUR",D67*($T$112),$D67))</f>
        <v/>
      </c>
      <c r="F67" s="31"/>
      <c r="G67" s="31"/>
      <c r="H67" s="30"/>
      <c r="I67" s="102"/>
      <c r="J67" s="30"/>
      <c r="K67" s="73" t="str">
        <f>IFERROR(VLOOKUP(B67,Modules!C:D,2,0),"")</f>
        <v/>
      </c>
      <c r="L67" s="69" t="str">
        <f>IFERROR(VLOOKUP($C67,Interventions!E:F,2,0),IFERROR(VLOOKUP($C67,Interventions!I:L,4,0),IFERROR(VLOOKUP($C67,Interventions!J:L,3,0),"")))</f>
        <v/>
      </c>
      <c r="M67" s="102" t="str">
        <f>IF(IF(Modules!$D$4="EUR",I67/($T$112),$I67)=0,"",IF(Modules!$D$4="EUR",I67/($T$112),$I67))</f>
        <v/>
      </c>
      <c r="N67" s="30" t="str">
        <f>CLEAN(IFERROR(VLOOKUP($C67,Interventions!$E$1:$K$407,7,0),""))</f>
        <v/>
      </c>
      <c r="O67" s="30" t="str">
        <f>CLEAN(IF(C67="","",CONCATENATE(Modules!$B$8,"/",'PAAR UPDATE'!N67,R67)))</f>
        <v/>
      </c>
      <c r="P67" s="10">
        <f>IFERROR(INDEX('Dropdown Data'!$D$33:$D$35,MATCH(A67,'Dropdown Data'!$B$33:$B$35,0)),IFERROR(INDEX('Dropdown Data'!$D$33:$D$35,MATCH(A67,'Dropdown Data'!$C$33:$C$35,0)),A67))</f>
        <v>0</v>
      </c>
      <c r="Q67" s="10">
        <f>IFERROR(INDEX('Dropdown Data'!$D$33:$D$36,MATCH(H67,'Dropdown Data'!$B$33:$B$36,0)),IFERROR(INDEX('Dropdown Data'!$D$33:$D$36,MATCH(H67,'Dropdown Data'!$C$33:$C$36,0)),H67))</f>
        <v>0</v>
      </c>
      <c r="R67" s="10">
        <v>38</v>
      </c>
      <c r="S67" s="10" t="b">
        <f t="shared" si="2"/>
        <v>1</v>
      </c>
      <c r="T67" s="10">
        <f t="shared" si="3"/>
        <v>10</v>
      </c>
      <c r="U67" s="10" t="e">
        <f>IFERROR(VLOOKUP(B67,Modules!$E$11:$K$25,6,0),IFERROR(VLOOKUP(B67,Modules!$F$11:$K$25,5,0),VLOOKUP(B67,Modules!$G$11:$K$25,4,0)))</f>
        <v>#N/A</v>
      </c>
      <c r="V67" s="10" t="e">
        <f>MATCH(U67,Interventions!C:C,0)</f>
        <v>#N/A</v>
      </c>
      <c r="W67" s="10" t="e">
        <f>MATCH(U67,Interventions!C:C,1)</f>
        <v>#N/A</v>
      </c>
    </row>
    <row r="68" spans="1:23" ht="39.9" customHeight="1" x14ac:dyDescent="0.35">
      <c r="A68" s="30"/>
      <c r="B68" s="71"/>
      <c r="C68" s="71"/>
      <c r="D68" s="103"/>
      <c r="E68" s="104" t="str">
        <f>IF(IF(Modules!$D$4="EUR",D68*($T$112),$D68)=0,"",IF(Modules!$D$4="EUR",D68*($T$112),$D68))</f>
        <v/>
      </c>
      <c r="F68" s="31"/>
      <c r="G68" s="31"/>
      <c r="H68" s="30"/>
      <c r="I68" s="102"/>
      <c r="J68" s="30"/>
      <c r="K68" s="73" t="str">
        <f>IFERROR(VLOOKUP(B68,Modules!C:D,2,0),"")</f>
        <v/>
      </c>
      <c r="L68" s="69" t="str">
        <f>IFERROR(VLOOKUP($C68,Interventions!E:F,2,0),IFERROR(VLOOKUP($C68,Interventions!I:L,4,0),IFERROR(VLOOKUP($C68,Interventions!J:L,3,0),"")))</f>
        <v/>
      </c>
      <c r="M68" s="102" t="str">
        <f>IF(IF(Modules!$D$4="EUR",I68/($T$112),$I68)=0,"",IF(Modules!$D$4="EUR",I68/($T$112),$I68))</f>
        <v/>
      </c>
      <c r="N68" s="30" t="str">
        <f>CLEAN(IFERROR(VLOOKUP($C68,Interventions!$E$1:$K$407,7,0),""))</f>
        <v/>
      </c>
      <c r="O68" s="30" t="str">
        <f>CLEAN(IF(C68="","",CONCATENATE(Modules!$B$8,"/",'PAAR UPDATE'!N68,R68)))</f>
        <v/>
      </c>
      <c r="P68" s="10">
        <f>IFERROR(INDEX('Dropdown Data'!$D$33:$D$35,MATCH(A68,'Dropdown Data'!$B$33:$B$35,0)),IFERROR(INDEX('Dropdown Data'!$D$33:$D$35,MATCH(A68,'Dropdown Data'!$C$33:$C$35,0)),A68))</f>
        <v>0</v>
      </c>
      <c r="Q68" s="10">
        <f>IFERROR(INDEX('Dropdown Data'!$D$33:$D$36,MATCH(H68,'Dropdown Data'!$B$33:$B$36,0)),IFERROR(INDEX('Dropdown Data'!$D$33:$D$36,MATCH(H68,'Dropdown Data'!$C$33:$C$36,0)),H68))</f>
        <v>0</v>
      </c>
      <c r="R68" s="10">
        <v>39</v>
      </c>
      <c r="S68" s="10" t="b">
        <f t="shared" si="2"/>
        <v>1</v>
      </c>
      <c r="T68" s="10">
        <f t="shared" si="3"/>
        <v>10</v>
      </c>
      <c r="U68" s="10" t="e">
        <f>IFERROR(VLOOKUP(B68,Modules!$E$11:$K$25,6,0),IFERROR(VLOOKUP(B68,Modules!$F$11:$K$25,5,0),VLOOKUP(B68,Modules!$G$11:$K$25,4,0)))</f>
        <v>#N/A</v>
      </c>
      <c r="V68" s="10" t="e">
        <f>MATCH(U68,Interventions!C:C,0)</f>
        <v>#N/A</v>
      </c>
      <c r="W68" s="10" t="e">
        <f>MATCH(U68,Interventions!C:C,1)</f>
        <v>#N/A</v>
      </c>
    </row>
    <row r="69" spans="1:23" ht="39.9" customHeight="1" x14ac:dyDescent="0.35">
      <c r="A69" s="30"/>
      <c r="B69" s="71"/>
      <c r="C69" s="71"/>
      <c r="D69" s="103"/>
      <c r="E69" s="104" t="str">
        <f>IF(IF(Modules!$D$4="EUR",D69*($T$112),$D69)=0,"",IF(Modules!$D$4="EUR",D69*($T$112),$D69))</f>
        <v/>
      </c>
      <c r="F69" s="31"/>
      <c r="G69" s="31"/>
      <c r="H69" s="30"/>
      <c r="I69" s="102"/>
      <c r="J69" s="30"/>
      <c r="K69" s="73" t="str">
        <f>IFERROR(VLOOKUP(B69,Modules!C:D,2,0),"")</f>
        <v/>
      </c>
      <c r="L69" s="69" t="str">
        <f>IFERROR(VLOOKUP($C69,Interventions!E:F,2,0),IFERROR(VLOOKUP($C69,Interventions!I:L,4,0),IFERROR(VLOOKUP($C69,Interventions!J:L,3,0),"")))</f>
        <v/>
      </c>
      <c r="M69" s="102" t="str">
        <f>IF(IF(Modules!$D$4="EUR",I69/($T$112),$I69)=0,"",IF(Modules!$D$4="EUR",I69/($T$112),$I69))</f>
        <v/>
      </c>
      <c r="N69" s="30" t="str">
        <f>CLEAN(IFERROR(VLOOKUP($C69,Interventions!$E$1:$K$407,7,0),""))</f>
        <v/>
      </c>
      <c r="O69" s="30" t="str">
        <f>CLEAN(IF(C69="","",CONCATENATE(Modules!$B$8,"/",'PAAR UPDATE'!N69,R69)))</f>
        <v/>
      </c>
      <c r="P69" s="10">
        <f>IFERROR(INDEX('Dropdown Data'!$D$33:$D$35,MATCH(A69,'Dropdown Data'!$B$33:$B$35,0)),IFERROR(INDEX('Dropdown Data'!$D$33:$D$35,MATCH(A69,'Dropdown Data'!$C$33:$C$35,0)),A69))</f>
        <v>0</v>
      </c>
      <c r="Q69" s="10">
        <f>IFERROR(INDEX('Dropdown Data'!$D$33:$D$36,MATCH(H69,'Dropdown Data'!$B$33:$B$36,0)),IFERROR(INDEX('Dropdown Data'!$D$33:$D$36,MATCH(H69,'Dropdown Data'!$C$33:$C$36,0)),H69))</f>
        <v>0</v>
      </c>
      <c r="R69" s="10">
        <v>40</v>
      </c>
      <c r="S69" s="10" t="b">
        <f t="shared" si="2"/>
        <v>1</v>
      </c>
      <c r="T69" s="10">
        <f t="shared" si="3"/>
        <v>10</v>
      </c>
      <c r="U69" s="10" t="e">
        <f>IFERROR(VLOOKUP(B69,Modules!$E$11:$K$25,6,0),IFERROR(VLOOKUP(B69,Modules!$F$11:$K$25,5,0),VLOOKUP(B69,Modules!$G$11:$K$25,4,0)))</f>
        <v>#N/A</v>
      </c>
      <c r="V69" s="10" t="e">
        <f>MATCH(U69,Interventions!C:C,0)</f>
        <v>#N/A</v>
      </c>
      <c r="W69" s="10" t="e">
        <f>MATCH(U69,Interventions!C:C,1)</f>
        <v>#N/A</v>
      </c>
    </row>
    <row r="70" spans="1:23" ht="39.9" customHeight="1" x14ac:dyDescent="0.35">
      <c r="A70" s="30"/>
      <c r="B70" s="71"/>
      <c r="C70" s="71"/>
      <c r="D70" s="103"/>
      <c r="E70" s="104" t="str">
        <f>IF(IF(Modules!$D$4="EUR",D70*($T$112),$D70)=0,"",IF(Modules!$D$4="EUR",D70*($T$112),$D70))</f>
        <v/>
      </c>
      <c r="F70" s="31"/>
      <c r="G70" s="31"/>
      <c r="H70" s="30"/>
      <c r="I70" s="102"/>
      <c r="J70" s="30"/>
      <c r="K70" s="73" t="str">
        <f>IFERROR(VLOOKUP(B70,Modules!C:D,2,0),"")</f>
        <v/>
      </c>
      <c r="L70" s="69" t="str">
        <f>IFERROR(VLOOKUP($C70,Interventions!E:F,2,0),IFERROR(VLOOKUP($C70,Interventions!I:L,4,0),IFERROR(VLOOKUP($C70,Interventions!J:L,3,0),"")))</f>
        <v/>
      </c>
      <c r="M70" s="102" t="str">
        <f>IF(IF(Modules!$D$4="EUR",I70/($T$112),$I70)=0,"",IF(Modules!$D$4="EUR",I70/($T$112),$I70))</f>
        <v/>
      </c>
      <c r="N70" s="30" t="str">
        <f>CLEAN(IFERROR(VLOOKUP($C70,Interventions!$E$1:$K$407,7,0),""))</f>
        <v/>
      </c>
      <c r="O70" s="30" t="str">
        <f>CLEAN(IF(C70="","",CONCATENATE(Modules!$B$8,"/",'PAAR UPDATE'!N70,R70)))</f>
        <v/>
      </c>
      <c r="P70" s="10">
        <f>IFERROR(INDEX('Dropdown Data'!$D$33:$D$35,MATCH(A70,'Dropdown Data'!$B$33:$B$35,0)),IFERROR(INDEX('Dropdown Data'!$D$33:$D$35,MATCH(A70,'Dropdown Data'!$C$33:$C$35,0)),A70))</f>
        <v>0</v>
      </c>
      <c r="Q70" s="10">
        <f>IFERROR(INDEX('Dropdown Data'!$D$33:$D$36,MATCH(H70,'Dropdown Data'!$B$33:$B$36,0)),IFERROR(INDEX('Dropdown Data'!$D$33:$D$36,MATCH(H70,'Dropdown Data'!$C$33:$C$36,0)),H70))</f>
        <v>0</v>
      </c>
      <c r="R70" s="10">
        <v>41</v>
      </c>
      <c r="S70" s="10" t="b">
        <f t="shared" si="2"/>
        <v>1</v>
      </c>
      <c r="T70" s="10">
        <f t="shared" si="3"/>
        <v>10</v>
      </c>
      <c r="U70" s="10" t="e">
        <f>IFERROR(VLOOKUP(B70,Modules!$E$11:$K$25,6,0),IFERROR(VLOOKUP(B70,Modules!$F$11:$K$25,5,0),VLOOKUP(B70,Modules!$G$11:$K$25,4,0)))</f>
        <v>#N/A</v>
      </c>
      <c r="V70" s="10" t="e">
        <f>MATCH(U70,Interventions!C:C,0)</f>
        <v>#N/A</v>
      </c>
      <c r="W70" s="10" t="e">
        <f>MATCH(U70,Interventions!C:C,1)</f>
        <v>#N/A</v>
      </c>
    </row>
    <row r="71" spans="1:23" ht="39.9" customHeight="1" x14ac:dyDescent="0.35">
      <c r="A71" s="30"/>
      <c r="B71" s="71"/>
      <c r="C71" s="71"/>
      <c r="D71" s="103"/>
      <c r="E71" s="104" t="str">
        <f>IF(IF(Modules!$D$4="EUR",D71*($T$112),$D71)=0,"",IF(Modules!$D$4="EUR",D71*($T$112),$D71))</f>
        <v/>
      </c>
      <c r="F71" s="31"/>
      <c r="G71" s="31"/>
      <c r="H71" s="30"/>
      <c r="I71" s="102"/>
      <c r="J71" s="30"/>
      <c r="K71" s="73" t="str">
        <f>IFERROR(VLOOKUP(B71,Modules!C:D,2,0),"")</f>
        <v/>
      </c>
      <c r="L71" s="69" t="str">
        <f>IFERROR(VLOOKUP($C71,Interventions!E:F,2,0),IFERROR(VLOOKUP($C71,Interventions!I:L,4,0),IFERROR(VLOOKUP($C71,Interventions!J:L,3,0),"")))</f>
        <v/>
      </c>
      <c r="M71" s="102" t="str">
        <f>IF(IF(Modules!$D$4="EUR",I71/($T$112),$I71)=0,"",IF(Modules!$D$4="EUR",I71/($T$112),$I71))</f>
        <v/>
      </c>
      <c r="N71" s="30" t="str">
        <f>CLEAN(IFERROR(VLOOKUP($C71,Interventions!$E$1:$K$407,7,0),""))</f>
        <v/>
      </c>
      <c r="O71" s="30" t="str">
        <f>CLEAN(IF(C71="","",CONCATENATE(Modules!$B$8,"/",'PAAR UPDATE'!N71,R71)))</f>
        <v/>
      </c>
      <c r="P71" s="10">
        <f>IFERROR(INDEX('Dropdown Data'!$D$33:$D$35,MATCH(A71,'Dropdown Data'!$B$33:$B$35,0)),IFERROR(INDEX('Dropdown Data'!$D$33:$D$35,MATCH(A71,'Dropdown Data'!$C$33:$C$35,0)),A71))</f>
        <v>0</v>
      </c>
      <c r="Q71" s="10">
        <f>IFERROR(INDEX('Dropdown Data'!$D$33:$D$36,MATCH(H71,'Dropdown Data'!$B$33:$B$36,0)),IFERROR(INDEX('Dropdown Data'!$D$33:$D$36,MATCH(H71,'Dropdown Data'!$C$33:$C$36,0)),H71))</f>
        <v>0</v>
      </c>
      <c r="R71" s="10">
        <v>42</v>
      </c>
      <c r="S71" s="10" t="b">
        <f t="shared" si="2"/>
        <v>1</v>
      </c>
      <c r="T71" s="10">
        <f t="shared" si="3"/>
        <v>10</v>
      </c>
      <c r="U71" s="10" t="e">
        <f>IFERROR(VLOOKUP(B71,Modules!$E$11:$K$25,6,0),IFERROR(VLOOKUP(B71,Modules!$F$11:$K$25,5,0),VLOOKUP(B71,Modules!$G$11:$K$25,4,0)))</f>
        <v>#N/A</v>
      </c>
      <c r="V71" s="10" t="e">
        <f>MATCH(U71,Interventions!C:C,0)</f>
        <v>#N/A</v>
      </c>
      <c r="W71" s="10" t="e">
        <f>MATCH(U71,Interventions!C:C,1)</f>
        <v>#N/A</v>
      </c>
    </row>
    <row r="72" spans="1:23" ht="39.9" customHeight="1" x14ac:dyDescent="0.35">
      <c r="A72" s="30"/>
      <c r="B72" s="71"/>
      <c r="C72" s="71"/>
      <c r="D72" s="103"/>
      <c r="E72" s="104" t="str">
        <f>IF(IF(Modules!$D$4="EUR",D72*($T$112),$D72)=0,"",IF(Modules!$D$4="EUR",D72*($T$112),$D72))</f>
        <v/>
      </c>
      <c r="F72" s="31"/>
      <c r="G72" s="31"/>
      <c r="H72" s="30"/>
      <c r="I72" s="102"/>
      <c r="J72" s="30"/>
      <c r="K72" s="73" t="str">
        <f>IFERROR(VLOOKUP(B72,Modules!C:D,2,0),"")</f>
        <v/>
      </c>
      <c r="L72" s="69" t="str">
        <f>IFERROR(VLOOKUP($C72,Interventions!E:F,2,0),IFERROR(VLOOKUP($C72,Interventions!I:L,4,0),IFERROR(VLOOKUP($C72,Interventions!J:L,3,0),"")))</f>
        <v/>
      </c>
      <c r="M72" s="102" t="str">
        <f>IF(IF(Modules!$D$4="EUR",I72/($T$112),$I72)=0,"",IF(Modules!$D$4="EUR",I72/($T$112),$I72))</f>
        <v/>
      </c>
      <c r="N72" s="30" t="str">
        <f>CLEAN(IFERROR(VLOOKUP($C72,Interventions!$E$1:$K$407,7,0),""))</f>
        <v/>
      </c>
      <c r="O72" s="30" t="str">
        <f>CLEAN(IF(C72="","",CONCATENATE(Modules!$B$8,"/",'PAAR UPDATE'!N72,R72)))</f>
        <v/>
      </c>
      <c r="P72" s="10">
        <f>IFERROR(INDEX('Dropdown Data'!$D$33:$D$35,MATCH(A72,'Dropdown Data'!$B$33:$B$35,0)),IFERROR(INDEX('Dropdown Data'!$D$33:$D$35,MATCH(A72,'Dropdown Data'!$C$33:$C$35,0)),A72))</f>
        <v>0</v>
      </c>
      <c r="Q72" s="10">
        <f>IFERROR(INDEX('Dropdown Data'!$D$33:$D$36,MATCH(H72,'Dropdown Data'!$B$33:$B$36,0)),IFERROR(INDEX('Dropdown Data'!$D$33:$D$36,MATCH(H72,'Dropdown Data'!$C$33:$C$36,0)),H72))</f>
        <v>0</v>
      </c>
      <c r="R72" s="10">
        <v>43</v>
      </c>
      <c r="S72" s="10" t="b">
        <f t="shared" si="2"/>
        <v>1</v>
      </c>
      <c r="T72" s="10">
        <f t="shared" si="3"/>
        <v>10</v>
      </c>
      <c r="U72" s="10" t="e">
        <f>IFERROR(VLOOKUP(B72,Modules!$E$11:$K$25,6,0),IFERROR(VLOOKUP(B72,Modules!$F$11:$K$25,5,0),VLOOKUP(B72,Modules!$G$11:$K$25,4,0)))</f>
        <v>#N/A</v>
      </c>
      <c r="V72" s="10" t="e">
        <f>MATCH(U72,Interventions!C:C,0)</f>
        <v>#N/A</v>
      </c>
      <c r="W72" s="10" t="e">
        <f>MATCH(U72,Interventions!C:C,1)</f>
        <v>#N/A</v>
      </c>
    </row>
    <row r="73" spans="1:23" ht="39.9" customHeight="1" x14ac:dyDescent="0.35">
      <c r="A73" s="30"/>
      <c r="B73" s="71"/>
      <c r="C73" s="71"/>
      <c r="D73" s="103"/>
      <c r="E73" s="104" t="str">
        <f>IF(IF(Modules!$D$4="EUR",D73*($T$112),$D73)=0,"",IF(Modules!$D$4="EUR",D73*($T$112),$D73))</f>
        <v/>
      </c>
      <c r="F73" s="31"/>
      <c r="G73" s="31"/>
      <c r="H73" s="30"/>
      <c r="I73" s="102"/>
      <c r="J73" s="30"/>
      <c r="K73" s="73" t="str">
        <f>IFERROR(VLOOKUP(B73,Modules!C:D,2,0),"")</f>
        <v/>
      </c>
      <c r="L73" s="69" t="str">
        <f>IFERROR(VLOOKUP($C73,Interventions!E:F,2,0),IFERROR(VLOOKUP($C73,Interventions!I:L,4,0),IFERROR(VLOOKUP($C73,Interventions!J:L,3,0),"")))</f>
        <v/>
      </c>
      <c r="M73" s="102" t="str">
        <f>IF(IF(Modules!$D$4="EUR",I73/($T$112),$I73)=0,"",IF(Modules!$D$4="EUR",I73/($T$112),$I73))</f>
        <v/>
      </c>
      <c r="N73" s="30" t="str">
        <f>CLEAN(IFERROR(VLOOKUP($C73,Interventions!$E$1:$K$407,7,0),""))</f>
        <v/>
      </c>
      <c r="O73" s="30" t="str">
        <f>CLEAN(IF(C73="","",CONCATENATE(Modules!$B$8,"/",'PAAR UPDATE'!N73,R73)))</f>
        <v/>
      </c>
      <c r="P73" s="10">
        <f>IFERROR(INDEX('Dropdown Data'!$D$33:$D$35,MATCH(A73,'Dropdown Data'!$B$33:$B$35,0)),IFERROR(INDEX('Dropdown Data'!$D$33:$D$35,MATCH(A73,'Dropdown Data'!$C$33:$C$35,0)),A73))</f>
        <v>0</v>
      </c>
      <c r="Q73" s="10">
        <f>IFERROR(INDEX('Dropdown Data'!$D$33:$D$36,MATCH(H73,'Dropdown Data'!$B$33:$B$36,0)),IFERROR(INDEX('Dropdown Data'!$D$33:$D$36,MATCH(H73,'Dropdown Data'!$C$33:$C$36,0)),H73))</f>
        <v>0</v>
      </c>
      <c r="R73" s="10">
        <v>44</v>
      </c>
      <c r="S73" s="10" t="b">
        <f t="shared" si="2"/>
        <v>1</v>
      </c>
      <c r="T73" s="10">
        <f t="shared" si="3"/>
        <v>10</v>
      </c>
      <c r="U73" s="10" t="e">
        <f>IFERROR(VLOOKUP(B73,Modules!$E$11:$K$25,6,0),IFERROR(VLOOKUP(B73,Modules!$F$11:$K$25,5,0),VLOOKUP(B73,Modules!$G$11:$K$25,4,0)))</f>
        <v>#N/A</v>
      </c>
      <c r="V73" s="10" t="e">
        <f>MATCH(U73,Interventions!C:C,0)</f>
        <v>#N/A</v>
      </c>
      <c r="W73" s="10" t="e">
        <f>MATCH(U73,Interventions!C:C,1)</f>
        <v>#N/A</v>
      </c>
    </row>
    <row r="74" spans="1:23" ht="39.9" customHeight="1" x14ac:dyDescent="0.35">
      <c r="A74" s="30"/>
      <c r="B74" s="71"/>
      <c r="C74" s="71"/>
      <c r="D74" s="103"/>
      <c r="E74" s="104" t="str">
        <f>IF(IF(Modules!$D$4="EUR",D74*($T$112),$D74)=0,"",IF(Modules!$D$4="EUR",D74*($T$112),$D74))</f>
        <v/>
      </c>
      <c r="F74" s="31"/>
      <c r="G74" s="31"/>
      <c r="H74" s="30"/>
      <c r="I74" s="102"/>
      <c r="J74" s="30"/>
      <c r="K74" s="73" t="str">
        <f>IFERROR(VLOOKUP(B74,Modules!C:D,2,0),"")</f>
        <v/>
      </c>
      <c r="L74" s="69" t="str">
        <f>IFERROR(VLOOKUP($C74,Interventions!E:F,2,0),IFERROR(VLOOKUP($C74,Interventions!I:L,4,0),IFERROR(VLOOKUP($C74,Interventions!J:L,3,0),"")))</f>
        <v/>
      </c>
      <c r="M74" s="102" t="str">
        <f>IF(IF(Modules!$D$4="EUR",I74/($T$112),$I74)=0,"",IF(Modules!$D$4="EUR",I74/($T$112),$I74))</f>
        <v/>
      </c>
      <c r="N74" s="30" t="str">
        <f>CLEAN(IFERROR(VLOOKUP($C74,Interventions!$E$1:$K$407,7,0),""))</f>
        <v/>
      </c>
      <c r="O74" s="30" t="str">
        <f>CLEAN(IF(C74="","",CONCATENATE(Modules!$B$8,"/",'PAAR UPDATE'!N74,R74)))</f>
        <v/>
      </c>
      <c r="P74" s="10">
        <f>IFERROR(INDEX('Dropdown Data'!$D$33:$D$35,MATCH(A74,'Dropdown Data'!$B$33:$B$35,0)),IFERROR(INDEX('Dropdown Data'!$D$33:$D$35,MATCH(A74,'Dropdown Data'!$C$33:$C$35,0)),A74))</f>
        <v>0</v>
      </c>
      <c r="Q74" s="10">
        <f>IFERROR(INDEX('Dropdown Data'!$D$33:$D$36,MATCH(H74,'Dropdown Data'!$B$33:$B$36,0)),IFERROR(INDEX('Dropdown Data'!$D$33:$D$36,MATCH(H74,'Dropdown Data'!$C$33:$C$36,0)),H74))</f>
        <v>0</v>
      </c>
      <c r="R74" s="10">
        <v>45</v>
      </c>
      <c r="S74" s="10" t="b">
        <f t="shared" si="2"/>
        <v>1</v>
      </c>
      <c r="T74" s="10">
        <f t="shared" si="3"/>
        <v>10</v>
      </c>
      <c r="U74" s="10" t="e">
        <f>IFERROR(VLOOKUP(B74,Modules!$E$11:$K$25,6,0),IFERROR(VLOOKUP(B74,Modules!$F$11:$K$25,5,0),VLOOKUP(B74,Modules!$G$11:$K$25,4,0)))</f>
        <v>#N/A</v>
      </c>
      <c r="V74" s="10" t="e">
        <f>MATCH(U74,Interventions!C:C,0)</f>
        <v>#N/A</v>
      </c>
      <c r="W74" s="10" t="e">
        <f>MATCH(U74,Interventions!C:C,1)</f>
        <v>#N/A</v>
      </c>
    </row>
    <row r="75" spans="1:23" ht="39.9" customHeight="1" x14ac:dyDescent="0.35">
      <c r="A75" s="30"/>
      <c r="B75" s="71"/>
      <c r="C75" s="71"/>
      <c r="D75" s="103"/>
      <c r="E75" s="104" t="str">
        <f>IF(IF(Modules!$D$4="EUR",D75*($T$112),$D75)=0,"",IF(Modules!$D$4="EUR",D75*($T$112),$D75))</f>
        <v/>
      </c>
      <c r="F75" s="31"/>
      <c r="G75" s="31"/>
      <c r="H75" s="30"/>
      <c r="I75" s="102"/>
      <c r="J75" s="30"/>
      <c r="K75" s="73" t="str">
        <f>IFERROR(VLOOKUP(B75,Modules!C:D,2,0),"")</f>
        <v/>
      </c>
      <c r="L75" s="69" t="str">
        <f>IFERROR(VLOOKUP($C75,Interventions!E:F,2,0),IFERROR(VLOOKUP($C75,Interventions!I:L,4,0),IFERROR(VLOOKUP($C75,Interventions!J:L,3,0),"")))</f>
        <v/>
      </c>
      <c r="M75" s="102" t="str">
        <f>IF(IF(Modules!$D$4="EUR",I75/($T$112),$I75)=0,"",IF(Modules!$D$4="EUR",I75/($T$112),$I75))</f>
        <v/>
      </c>
      <c r="N75" s="30" t="str">
        <f>CLEAN(IFERROR(VLOOKUP($C75,Interventions!$E$1:$K$407,7,0),""))</f>
        <v/>
      </c>
      <c r="O75" s="30" t="str">
        <f>CLEAN(IF(C75="","",CONCATENATE(Modules!$B$8,"/",'PAAR UPDATE'!N75,R75)))</f>
        <v/>
      </c>
      <c r="P75" s="10">
        <f>IFERROR(INDEX('Dropdown Data'!$D$33:$D$35,MATCH(A75,'Dropdown Data'!$B$33:$B$35,0)),IFERROR(INDEX('Dropdown Data'!$D$33:$D$35,MATCH(A75,'Dropdown Data'!$C$33:$C$35,0)),A75))</f>
        <v>0</v>
      </c>
      <c r="Q75" s="10">
        <f>IFERROR(INDEX('Dropdown Data'!$D$33:$D$36,MATCH(H75,'Dropdown Data'!$B$33:$B$36,0)),IFERROR(INDEX('Dropdown Data'!$D$33:$D$36,MATCH(H75,'Dropdown Data'!$C$33:$C$36,0)),H75))</f>
        <v>0</v>
      </c>
      <c r="R75" s="10">
        <v>46</v>
      </c>
      <c r="S75" s="10" t="b">
        <f t="shared" si="2"/>
        <v>1</v>
      </c>
      <c r="T75" s="10">
        <f t="shared" si="3"/>
        <v>10</v>
      </c>
      <c r="U75" s="10" t="e">
        <f>IFERROR(VLOOKUP(B75,Modules!$E$11:$K$25,6,0),IFERROR(VLOOKUP(B75,Modules!$F$11:$K$25,5,0),VLOOKUP(B75,Modules!$G$11:$K$25,4,0)))</f>
        <v>#N/A</v>
      </c>
      <c r="V75" s="10" t="e">
        <f>MATCH(U75,Interventions!C:C,0)</f>
        <v>#N/A</v>
      </c>
      <c r="W75" s="10" t="e">
        <f>MATCH(U75,Interventions!C:C,1)</f>
        <v>#N/A</v>
      </c>
    </row>
    <row r="76" spans="1:23" ht="39.9" customHeight="1" x14ac:dyDescent="0.35">
      <c r="A76" s="30"/>
      <c r="B76" s="71"/>
      <c r="C76" s="71"/>
      <c r="D76" s="103"/>
      <c r="E76" s="104" t="str">
        <f>IF(IF(Modules!$D$4="EUR",D76*($T$112),$D76)=0,"",IF(Modules!$D$4="EUR",D76*($T$112),$D76))</f>
        <v/>
      </c>
      <c r="F76" s="31"/>
      <c r="G76" s="31"/>
      <c r="H76" s="30"/>
      <c r="I76" s="102"/>
      <c r="J76" s="30"/>
      <c r="K76" s="73" t="str">
        <f>IFERROR(VLOOKUP(B76,Modules!C:D,2,0),"")</f>
        <v/>
      </c>
      <c r="L76" s="69" t="str">
        <f>IFERROR(VLOOKUP($C76,Interventions!E:F,2,0),IFERROR(VLOOKUP($C76,Interventions!I:L,4,0),IFERROR(VLOOKUP($C76,Interventions!J:L,3,0),"")))</f>
        <v/>
      </c>
      <c r="M76" s="102" t="str">
        <f>IF(IF(Modules!$D$4="EUR",I76/($T$112),$I76)=0,"",IF(Modules!$D$4="EUR",I76/($T$112),$I76))</f>
        <v/>
      </c>
      <c r="N76" s="30" t="str">
        <f>CLEAN(IFERROR(VLOOKUP($C76,Interventions!$E$1:$K$407,7,0),""))</f>
        <v/>
      </c>
      <c r="O76" s="30" t="str">
        <f>CLEAN(IF(C76="","",CONCATENATE(Modules!$B$8,"/",'PAAR UPDATE'!N76,R76)))</f>
        <v/>
      </c>
      <c r="P76" s="10">
        <f>IFERROR(INDEX('Dropdown Data'!$D$33:$D$35,MATCH(A76,'Dropdown Data'!$B$33:$B$35,0)),IFERROR(INDEX('Dropdown Data'!$D$33:$D$35,MATCH(A76,'Dropdown Data'!$C$33:$C$35,0)),A76))</f>
        <v>0</v>
      </c>
      <c r="Q76" s="10">
        <f>IFERROR(INDEX('Dropdown Data'!$D$33:$D$36,MATCH(H76,'Dropdown Data'!$B$33:$B$36,0)),IFERROR(INDEX('Dropdown Data'!$D$33:$D$36,MATCH(H76,'Dropdown Data'!$C$33:$C$36,0)),H76))</f>
        <v>0</v>
      </c>
      <c r="R76" s="10">
        <v>47</v>
      </c>
      <c r="S76" s="10" t="b">
        <f t="shared" si="2"/>
        <v>1</v>
      </c>
      <c r="T76" s="10">
        <f t="shared" si="3"/>
        <v>10</v>
      </c>
      <c r="U76" s="10" t="e">
        <f>IFERROR(VLOOKUP(B76,Modules!$E$11:$K$25,6,0),IFERROR(VLOOKUP(B76,Modules!$F$11:$K$25,5,0),VLOOKUP(B76,Modules!$G$11:$K$25,4,0)))</f>
        <v>#N/A</v>
      </c>
      <c r="V76" s="10" t="e">
        <f>MATCH(U76,Interventions!C:C,0)</f>
        <v>#N/A</v>
      </c>
      <c r="W76" s="10" t="e">
        <f>MATCH(U76,Interventions!C:C,1)</f>
        <v>#N/A</v>
      </c>
    </row>
    <row r="77" spans="1:23" ht="39.9" customHeight="1" x14ac:dyDescent="0.35">
      <c r="A77" s="30"/>
      <c r="B77" s="71"/>
      <c r="C77" s="71"/>
      <c r="D77" s="103"/>
      <c r="E77" s="104" t="str">
        <f>IF(IF(Modules!$D$4="EUR",D77*($T$112),$D77)=0,"",IF(Modules!$D$4="EUR",D77*($T$112),$D77))</f>
        <v/>
      </c>
      <c r="F77" s="31"/>
      <c r="G77" s="31"/>
      <c r="H77" s="30"/>
      <c r="I77" s="102"/>
      <c r="J77" s="30"/>
      <c r="K77" s="73" t="str">
        <f>IFERROR(VLOOKUP(B77,Modules!C:D,2,0),"")</f>
        <v/>
      </c>
      <c r="L77" s="69" t="str">
        <f>IFERROR(VLOOKUP($C77,Interventions!E:F,2,0),IFERROR(VLOOKUP($C77,Interventions!I:L,4,0),IFERROR(VLOOKUP($C77,Interventions!J:L,3,0),"")))</f>
        <v/>
      </c>
      <c r="M77" s="102" t="str">
        <f>IF(IF(Modules!$D$4="EUR",I77/($T$112),$I77)=0,"",IF(Modules!$D$4="EUR",I77/($T$112),$I77))</f>
        <v/>
      </c>
      <c r="N77" s="30" t="str">
        <f>CLEAN(IFERROR(VLOOKUP($C77,Interventions!$E$1:$K$407,7,0),""))</f>
        <v/>
      </c>
      <c r="O77" s="30" t="str">
        <f>CLEAN(IF(C77="","",CONCATENATE(Modules!$B$8,"/",'PAAR UPDATE'!N77,R77)))</f>
        <v/>
      </c>
      <c r="P77" s="10">
        <f>IFERROR(INDEX('Dropdown Data'!$D$33:$D$35,MATCH(A77,'Dropdown Data'!$B$33:$B$35,0)),IFERROR(INDEX('Dropdown Data'!$D$33:$D$35,MATCH(A77,'Dropdown Data'!$C$33:$C$35,0)),A77))</f>
        <v>0</v>
      </c>
      <c r="Q77" s="10">
        <f>IFERROR(INDEX('Dropdown Data'!$D$33:$D$36,MATCH(H77,'Dropdown Data'!$B$33:$B$36,0)),IFERROR(INDEX('Dropdown Data'!$D$33:$D$36,MATCH(H77,'Dropdown Data'!$C$33:$C$36,0)),H77))</f>
        <v>0</v>
      </c>
      <c r="R77" s="10">
        <v>48</v>
      </c>
      <c r="S77" s="10" t="b">
        <f t="shared" si="2"/>
        <v>1</v>
      </c>
      <c r="T77" s="10">
        <f t="shared" si="3"/>
        <v>10</v>
      </c>
      <c r="U77" s="10" t="e">
        <f>IFERROR(VLOOKUP(B77,Modules!$E$11:$K$25,6,0),IFERROR(VLOOKUP(B77,Modules!$F$11:$K$25,5,0),VLOOKUP(B77,Modules!$G$11:$K$25,4,0)))</f>
        <v>#N/A</v>
      </c>
      <c r="V77" s="10" t="e">
        <f>MATCH(U77,Interventions!C:C,0)</f>
        <v>#N/A</v>
      </c>
      <c r="W77" s="10" t="e">
        <f>MATCH(U77,Interventions!C:C,1)</f>
        <v>#N/A</v>
      </c>
    </row>
    <row r="78" spans="1:23" ht="39.9" customHeight="1" x14ac:dyDescent="0.35">
      <c r="A78" s="30"/>
      <c r="B78" s="71"/>
      <c r="C78" s="71"/>
      <c r="D78" s="103"/>
      <c r="E78" s="104" t="str">
        <f>IF(IF(Modules!$D$4="EUR",D78*($T$112),$D78)=0,"",IF(Modules!$D$4="EUR",D78*($T$112),$D78))</f>
        <v/>
      </c>
      <c r="F78" s="31"/>
      <c r="G78" s="31"/>
      <c r="H78" s="30"/>
      <c r="I78" s="102"/>
      <c r="J78" s="30"/>
      <c r="K78" s="73" t="str">
        <f>IFERROR(VLOOKUP(B78,Modules!C:D,2,0),"")</f>
        <v/>
      </c>
      <c r="L78" s="69" t="str">
        <f>IFERROR(VLOOKUP($C78,Interventions!E:F,2,0),IFERROR(VLOOKUP($C78,Interventions!I:L,4,0),IFERROR(VLOOKUP($C78,Interventions!J:L,3,0),"")))</f>
        <v/>
      </c>
      <c r="M78" s="102" t="str">
        <f>IF(IF(Modules!$D$4="EUR",I78/($T$112),$I78)=0,"",IF(Modules!$D$4="EUR",I78/($T$112),$I78))</f>
        <v/>
      </c>
      <c r="N78" s="30" t="str">
        <f>CLEAN(IFERROR(VLOOKUP($C78,Interventions!$E$1:$K$407,7,0),""))</f>
        <v/>
      </c>
      <c r="O78" s="30" t="str">
        <f>CLEAN(IF(C78="","",CONCATENATE(Modules!$B$8,"/",'PAAR UPDATE'!N78,R78)))</f>
        <v/>
      </c>
      <c r="P78" s="10">
        <f>IFERROR(INDEX('Dropdown Data'!$D$33:$D$35,MATCH(A78,'Dropdown Data'!$B$33:$B$35,0)),IFERROR(INDEX('Dropdown Data'!$D$33:$D$35,MATCH(A78,'Dropdown Data'!$C$33:$C$35,0)),A78))</f>
        <v>0</v>
      </c>
      <c r="Q78" s="10">
        <f>IFERROR(INDEX('Dropdown Data'!$D$33:$D$36,MATCH(H78,'Dropdown Data'!$B$33:$B$36,0)),IFERROR(INDEX('Dropdown Data'!$D$33:$D$36,MATCH(H78,'Dropdown Data'!$C$33:$C$36,0)),H78))</f>
        <v>0</v>
      </c>
      <c r="R78" s="10">
        <v>49</v>
      </c>
      <c r="S78" s="10" t="b">
        <f t="shared" si="2"/>
        <v>1</v>
      </c>
      <c r="T78" s="10">
        <f t="shared" si="3"/>
        <v>10</v>
      </c>
      <c r="U78" s="10" t="e">
        <f>IFERROR(VLOOKUP(B78,Modules!$E$11:$K$25,6,0),IFERROR(VLOOKUP(B78,Modules!$F$11:$K$25,5,0),VLOOKUP(B78,Modules!$G$11:$K$25,4,0)))</f>
        <v>#N/A</v>
      </c>
      <c r="V78" s="10" t="e">
        <f>MATCH(U78,Interventions!C:C,0)</f>
        <v>#N/A</v>
      </c>
      <c r="W78" s="10" t="e">
        <f>MATCH(U78,Interventions!C:C,1)</f>
        <v>#N/A</v>
      </c>
    </row>
    <row r="79" spans="1:23" ht="39.9" customHeight="1" x14ac:dyDescent="0.35">
      <c r="A79" s="30"/>
      <c r="B79" s="71"/>
      <c r="C79" s="71"/>
      <c r="D79" s="103"/>
      <c r="E79" s="104" t="str">
        <f>IF(IF(Modules!$D$4="EUR",D79*($T$112),$D79)=0,"",IF(Modules!$D$4="EUR",D79*($T$112),$D79))</f>
        <v/>
      </c>
      <c r="F79" s="31"/>
      <c r="G79" s="31"/>
      <c r="H79" s="30"/>
      <c r="I79" s="102"/>
      <c r="J79" s="30"/>
      <c r="K79" s="73" t="str">
        <f>IFERROR(VLOOKUP(B79,Modules!C:D,2,0),"")</f>
        <v/>
      </c>
      <c r="L79" s="69" t="str">
        <f>IFERROR(VLOOKUP($C79,Interventions!E:F,2,0),IFERROR(VLOOKUP($C79,Interventions!I:L,4,0),IFERROR(VLOOKUP($C79,Interventions!J:L,3,0),"")))</f>
        <v/>
      </c>
      <c r="M79" s="102" t="str">
        <f>IF(IF(Modules!$D$4="EUR",I79/($T$112),$I79)=0,"",IF(Modules!$D$4="EUR",I79/($T$112),$I79))</f>
        <v/>
      </c>
      <c r="N79" s="30" t="str">
        <f>CLEAN(IFERROR(VLOOKUP($C79,Interventions!$E$1:$K$407,7,0),""))</f>
        <v/>
      </c>
      <c r="O79" s="30" t="str">
        <f>CLEAN(IF(C79="","",CONCATENATE(Modules!$B$8,"/",'PAAR UPDATE'!N79,R79)))</f>
        <v/>
      </c>
      <c r="P79" s="10">
        <f>IFERROR(INDEX('Dropdown Data'!$D$33:$D$35,MATCH(A79,'Dropdown Data'!$B$33:$B$35,0)),IFERROR(INDEX('Dropdown Data'!$D$33:$D$35,MATCH(A79,'Dropdown Data'!$C$33:$C$35,0)),A79))</f>
        <v>0</v>
      </c>
      <c r="Q79" s="10">
        <f>IFERROR(INDEX('Dropdown Data'!$D$33:$D$36,MATCH(H79,'Dropdown Data'!$B$33:$B$36,0)),IFERROR(INDEX('Dropdown Data'!$D$33:$D$36,MATCH(H79,'Dropdown Data'!$C$33:$C$36,0)),H79))</f>
        <v>0</v>
      </c>
      <c r="R79" s="10">
        <v>50</v>
      </c>
      <c r="S79" s="10" t="b">
        <f t="shared" si="2"/>
        <v>1</v>
      </c>
      <c r="T79" s="10">
        <f t="shared" si="3"/>
        <v>10</v>
      </c>
      <c r="U79" s="10" t="e">
        <f>IFERROR(VLOOKUP(B79,Modules!$E$11:$K$25,6,0),IFERROR(VLOOKUP(B79,Modules!$F$11:$K$25,5,0),VLOOKUP(B79,Modules!$G$11:$K$25,4,0)))</f>
        <v>#N/A</v>
      </c>
      <c r="V79" s="10" t="e">
        <f>MATCH(U79,Interventions!C:C,0)</f>
        <v>#N/A</v>
      </c>
      <c r="W79" s="10" t="e">
        <f>MATCH(U79,Interventions!C:C,1)</f>
        <v>#N/A</v>
      </c>
    </row>
    <row r="80" spans="1:23" ht="39.9" customHeight="1" x14ac:dyDescent="0.35">
      <c r="A80" s="30"/>
      <c r="B80" s="71"/>
      <c r="C80" s="71"/>
      <c r="D80" s="103"/>
      <c r="E80" s="104" t="str">
        <f>IF(IF(Modules!$D$4="EUR",D80*($T$112),$D80)=0,"",IF(Modules!$D$4="EUR",D80*($T$112),$D80))</f>
        <v/>
      </c>
      <c r="F80" s="31"/>
      <c r="G80" s="31"/>
      <c r="H80" s="30"/>
      <c r="I80" s="102"/>
      <c r="J80" s="30"/>
      <c r="K80" s="73" t="str">
        <f>IFERROR(VLOOKUP(B80,Modules!C:D,2,0),"")</f>
        <v/>
      </c>
      <c r="L80" s="69" t="str">
        <f>IFERROR(VLOOKUP($C80,Interventions!E:F,2,0),IFERROR(VLOOKUP($C80,Interventions!I:L,4,0),IFERROR(VLOOKUP($C80,Interventions!J:L,3,0),"")))</f>
        <v/>
      </c>
      <c r="M80" s="102" t="str">
        <f>IF(IF(Modules!$D$4="EUR",I80/($T$112),$I80)=0,"",IF(Modules!$D$4="EUR",I80/($T$112),$I80))</f>
        <v/>
      </c>
      <c r="N80" s="30" t="str">
        <f>CLEAN(IFERROR(VLOOKUP($C80,Interventions!$E$1:$K$407,7,0),""))</f>
        <v/>
      </c>
      <c r="O80" s="30" t="str">
        <f>CLEAN(IF(C80="","",CONCATENATE(Modules!$B$8,"/",'PAAR UPDATE'!N80,R80)))</f>
        <v/>
      </c>
      <c r="P80" s="10">
        <f>IFERROR(INDEX('Dropdown Data'!$D$33:$D$35,MATCH(A80,'Dropdown Data'!$B$33:$B$35,0)),IFERROR(INDEX('Dropdown Data'!$D$33:$D$35,MATCH(A80,'Dropdown Data'!$C$33:$C$35,0)),A80))</f>
        <v>0</v>
      </c>
      <c r="Q80" s="10">
        <f>IFERROR(INDEX('Dropdown Data'!$D$33:$D$36,MATCH(H80,'Dropdown Data'!$B$33:$B$36,0)),IFERROR(INDEX('Dropdown Data'!$D$33:$D$36,MATCH(H80,'Dropdown Data'!$C$33:$C$36,0)),H80))</f>
        <v>0</v>
      </c>
      <c r="R80" s="10">
        <v>51</v>
      </c>
      <c r="S80" s="10" t="b">
        <f t="shared" si="2"/>
        <v>1</v>
      </c>
      <c r="T80" s="10">
        <f t="shared" si="3"/>
        <v>10</v>
      </c>
      <c r="U80" s="10" t="e">
        <f>IFERROR(VLOOKUP(B80,Modules!$E$11:$K$25,6,0),IFERROR(VLOOKUP(B80,Modules!$F$11:$K$25,5,0),VLOOKUP(B80,Modules!$G$11:$K$25,4,0)))</f>
        <v>#N/A</v>
      </c>
      <c r="V80" s="10" t="e">
        <f>MATCH(U80,Interventions!C:C,0)</f>
        <v>#N/A</v>
      </c>
      <c r="W80" s="10" t="e">
        <f>MATCH(U80,Interventions!C:C,1)</f>
        <v>#N/A</v>
      </c>
    </row>
    <row r="81" spans="1:23" ht="39.9" customHeight="1" x14ac:dyDescent="0.35">
      <c r="A81" s="30"/>
      <c r="B81" s="71"/>
      <c r="C81" s="71"/>
      <c r="D81" s="103"/>
      <c r="E81" s="104" t="str">
        <f>IF(IF(Modules!$D$4="EUR",D81*($T$112),$D81)=0,"",IF(Modules!$D$4="EUR",D81*($T$112),$D81))</f>
        <v/>
      </c>
      <c r="F81" s="31"/>
      <c r="G81" s="31"/>
      <c r="H81" s="30"/>
      <c r="I81" s="102"/>
      <c r="J81" s="30"/>
      <c r="K81" s="73" t="str">
        <f>IFERROR(VLOOKUP(B81,Modules!C:D,2,0),"")</f>
        <v/>
      </c>
      <c r="L81" s="69" t="str">
        <f>IFERROR(VLOOKUP($C81,Interventions!E:F,2,0),IFERROR(VLOOKUP($C81,Interventions!I:L,4,0),IFERROR(VLOOKUP($C81,Interventions!J:L,3,0),"")))</f>
        <v/>
      </c>
      <c r="M81" s="102" t="str">
        <f>IF(IF(Modules!$D$4="EUR",I81/($T$112),$I81)=0,"",IF(Modules!$D$4="EUR",I81/($T$112),$I81))</f>
        <v/>
      </c>
      <c r="N81" s="30" t="str">
        <f>CLEAN(IFERROR(VLOOKUP($C81,Interventions!$E$1:$K$407,7,0),""))</f>
        <v/>
      </c>
      <c r="O81" s="30" t="str">
        <f>CLEAN(IF(C81="","",CONCATENATE(Modules!$B$8,"/",'PAAR UPDATE'!N81,R81)))</f>
        <v/>
      </c>
      <c r="P81" s="10">
        <f>IFERROR(INDEX('Dropdown Data'!$D$33:$D$35,MATCH(A81,'Dropdown Data'!$B$33:$B$35,0)),IFERROR(INDEX('Dropdown Data'!$D$33:$D$35,MATCH(A81,'Dropdown Data'!$C$33:$C$35,0)),A81))</f>
        <v>0</v>
      </c>
      <c r="Q81" s="10">
        <f>IFERROR(INDEX('Dropdown Data'!$D$33:$D$36,MATCH(H81,'Dropdown Data'!$B$33:$B$36,0)),IFERROR(INDEX('Dropdown Data'!$D$33:$D$36,MATCH(H81,'Dropdown Data'!$C$33:$C$36,0)),H81))</f>
        <v>0</v>
      </c>
      <c r="R81" s="10">
        <v>52</v>
      </c>
      <c r="S81" s="10" t="b">
        <f t="shared" si="2"/>
        <v>1</v>
      </c>
      <c r="T81" s="10">
        <f t="shared" si="3"/>
        <v>10</v>
      </c>
      <c r="U81" s="10" t="e">
        <f>IFERROR(VLOOKUP(B81,Modules!$E$11:$K$25,6,0),IFERROR(VLOOKUP(B81,Modules!$F$11:$K$25,5,0),VLOOKUP(B81,Modules!$G$11:$K$25,4,0)))</f>
        <v>#N/A</v>
      </c>
      <c r="V81" s="10" t="e">
        <f>MATCH(U81,Interventions!C:C,0)</f>
        <v>#N/A</v>
      </c>
      <c r="W81" s="10" t="e">
        <f>MATCH(U81,Interventions!C:C,1)</f>
        <v>#N/A</v>
      </c>
    </row>
    <row r="82" spans="1:23" ht="39.9" customHeight="1" x14ac:dyDescent="0.35">
      <c r="A82" s="30"/>
      <c r="B82" s="71"/>
      <c r="C82" s="71"/>
      <c r="D82" s="103"/>
      <c r="E82" s="104" t="str">
        <f>IF(IF(Modules!$D$4="EUR",D82*($T$112),$D82)=0,"",IF(Modules!$D$4="EUR",D82*($T$112),$D82))</f>
        <v/>
      </c>
      <c r="F82" s="31"/>
      <c r="G82" s="31"/>
      <c r="H82" s="30"/>
      <c r="I82" s="102"/>
      <c r="J82" s="30"/>
      <c r="K82" s="73" t="str">
        <f>IFERROR(VLOOKUP(B82,Modules!C:D,2,0),"")</f>
        <v/>
      </c>
      <c r="L82" s="69" t="str">
        <f>IFERROR(VLOOKUP($C82,Interventions!E:F,2,0),IFERROR(VLOOKUP($C82,Interventions!I:L,4,0),IFERROR(VLOOKUP($C82,Interventions!J:L,3,0),"")))</f>
        <v/>
      </c>
      <c r="M82" s="102" t="str">
        <f>IF(IF(Modules!$D$4="EUR",I82/($T$112),$I82)=0,"",IF(Modules!$D$4="EUR",I82/($T$112),$I82))</f>
        <v/>
      </c>
      <c r="N82" s="30" t="str">
        <f>CLEAN(IFERROR(VLOOKUP($C82,Interventions!$E$1:$K$407,7,0),""))</f>
        <v/>
      </c>
      <c r="O82" s="30" t="str">
        <f>CLEAN(IF(C82="","",CONCATENATE(Modules!$B$8,"/",'PAAR UPDATE'!N82,R82)))</f>
        <v/>
      </c>
      <c r="P82" s="10">
        <f>IFERROR(INDEX('Dropdown Data'!$D$33:$D$35,MATCH(A82,'Dropdown Data'!$B$33:$B$35,0)),IFERROR(INDEX('Dropdown Data'!$D$33:$D$35,MATCH(A82,'Dropdown Data'!$C$33:$C$35,0)),A82))</f>
        <v>0</v>
      </c>
      <c r="Q82" s="10">
        <f>IFERROR(INDEX('Dropdown Data'!$D$33:$D$36,MATCH(H82,'Dropdown Data'!$B$33:$B$36,0)),IFERROR(INDEX('Dropdown Data'!$D$33:$D$36,MATCH(H82,'Dropdown Data'!$C$33:$C$36,0)),H82))</f>
        <v>0</v>
      </c>
      <c r="R82" s="10">
        <v>53</v>
      </c>
      <c r="S82" s="10" t="b">
        <f t="shared" si="2"/>
        <v>1</v>
      </c>
      <c r="T82" s="10">
        <f t="shared" si="3"/>
        <v>10</v>
      </c>
      <c r="U82" s="10" t="e">
        <f>IFERROR(VLOOKUP(B82,Modules!$E$11:$K$25,6,0),IFERROR(VLOOKUP(B82,Modules!$F$11:$K$25,5,0),VLOOKUP(B82,Modules!$G$11:$K$25,4,0)))</f>
        <v>#N/A</v>
      </c>
      <c r="V82" s="10" t="e">
        <f>MATCH(U82,Interventions!C:C,0)</f>
        <v>#N/A</v>
      </c>
      <c r="W82" s="10" t="e">
        <f>MATCH(U82,Interventions!C:C,1)</f>
        <v>#N/A</v>
      </c>
    </row>
    <row r="83" spans="1:23" ht="39.9" customHeight="1" x14ac:dyDescent="0.35">
      <c r="A83" s="30"/>
      <c r="B83" s="71"/>
      <c r="C83" s="71"/>
      <c r="D83" s="103"/>
      <c r="E83" s="104" t="str">
        <f>IF(IF(Modules!$D$4="EUR",D83*($T$112),$D83)=0,"",IF(Modules!$D$4="EUR",D83*($T$112),$D83))</f>
        <v/>
      </c>
      <c r="F83" s="31"/>
      <c r="G83" s="31"/>
      <c r="H83" s="30"/>
      <c r="I83" s="102"/>
      <c r="J83" s="30"/>
      <c r="K83" s="73" t="str">
        <f>IFERROR(VLOOKUP(B83,Modules!C:D,2,0),"")</f>
        <v/>
      </c>
      <c r="L83" s="69" t="str">
        <f>IFERROR(VLOOKUP($C83,Interventions!E:F,2,0),IFERROR(VLOOKUP($C83,Interventions!I:L,4,0),IFERROR(VLOOKUP($C83,Interventions!J:L,3,0),"")))</f>
        <v/>
      </c>
      <c r="M83" s="102" t="str">
        <f>IF(IF(Modules!$D$4="EUR",I83/($T$112),$I83)=0,"",IF(Modules!$D$4="EUR",I83/($T$112),$I83))</f>
        <v/>
      </c>
      <c r="N83" s="30" t="str">
        <f>CLEAN(IFERROR(VLOOKUP($C83,Interventions!$E$1:$K$407,7,0),""))</f>
        <v/>
      </c>
      <c r="O83" s="30" t="str">
        <f>CLEAN(IF(C83="","",CONCATENATE(Modules!$B$8,"/",'PAAR UPDATE'!N83,R83)))</f>
        <v/>
      </c>
      <c r="P83" s="10">
        <f>IFERROR(INDEX('Dropdown Data'!$D$33:$D$35,MATCH(A83,'Dropdown Data'!$B$33:$B$35,0)),IFERROR(INDEX('Dropdown Data'!$D$33:$D$35,MATCH(A83,'Dropdown Data'!$C$33:$C$35,0)),A83))</f>
        <v>0</v>
      </c>
      <c r="Q83" s="10">
        <f>IFERROR(INDEX('Dropdown Data'!$D$33:$D$36,MATCH(H83,'Dropdown Data'!$B$33:$B$36,0)),IFERROR(INDEX('Dropdown Data'!$D$33:$D$36,MATCH(H83,'Dropdown Data'!$C$33:$C$36,0)),H83))</f>
        <v>0</v>
      </c>
      <c r="R83" s="10">
        <v>54</v>
      </c>
      <c r="S83" s="10" t="b">
        <f t="shared" si="2"/>
        <v>1</v>
      </c>
      <c r="T83" s="10">
        <f t="shared" si="3"/>
        <v>10</v>
      </c>
      <c r="U83" s="10" t="e">
        <f>IFERROR(VLOOKUP(B83,Modules!$E$11:$K$25,6,0),IFERROR(VLOOKUP(B83,Modules!$F$11:$K$25,5,0),VLOOKUP(B83,Modules!$G$11:$K$25,4,0)))</f>
        <v>#N/A</v>
      </c>
      <c r="V83" s="10" t="e">
        <f>MATCH(U83,Interventions!C:C,0)</f>
        <v>#N/A</v>
      </c>
      <c r="W83" s="10" t="e">
        <f>MATCH(U83,Interventions!C:C,1)</f>
        <v>#N/A</v>
      </c>
    </row>
    <row r="84" spans="1:23" ht="39.9" customHeight="1" x14ac:dyDescent="0.35">
      <c r="A84" s="30"/>
      <c r="B84" s="71"/>
      <c r="C84" s="71"/>
      <c r="D84" s="103"/>
      <c r="E84" s="104" t="str">
        <f>IF(IF(Modules!$D$4="EUR",D84*($T$112),$D84)=0,"",IF(Modules!$D$4="EUR",D84*($T$112),$D84))</f>
        <v/>
      </c>
      <c r="F84" s="31"/>
      <c r="G84" s="31"/>
      <c r="H84" s="30"/>
      <c r="I84" s="102"/>
      <c r="J84" s="30"/>
      <c r="K84" s="73" t="str">
        <f>IFERROR(VLOOKUP(B84,Modules!C:D,2,0),"")</f>
        <v/>
      </c>
      <c r="L84" s="69" t="str">
        <f>IFERROR(VLOOKUP($C84,Interventions!E:F,2,0),IFERROR(VLOOKUP($C84,Interventions!I:L,4,0),IFERROR(VLOOKUP($C84,Interventions!J:L,3,0),"")))</f>
        <v/>
      </c>
      <c r="M84" s="102" t="str">
        <f>IF(IF(Modules!$D$4="EUR",I84/($T$112),$I84)=0,"",IF(Modules!$D$4="EUR",I84/($T$112),$I84))</f>
        <v/>
      </c>
      <c r="N84" s="30" t="str">
        <f>CLEAN(IFERROR(VLOOKUP($C84,Interventions!$E$1:$K$407,7,0),""))</f>
        <v/>
      </c>
      <c r="O84" s="30" t="str">
        <f>CLEAN(IF(C84="","",CONCATENATE(Modules!$B$8,"/",'PAAR UPDATE'!N84,R84)))</f>
        <v/>
      </c>
      <c r="P84" s="10">
        <f>IFERROR(INDEX('Dropdown Data'!$D$33:$D$35,MATCH(A84,'Dropdown Data'!$B$33:$B$35,0)),IFERROR(INDEX('Dropdown Data'!$D$33:$D$35,MATCH(A84,'Dropdown Data'!$C$33:$C$35,0)),A84))</f>
        <v>0</v>
      </c>
      <c r="Q84" s="10">
        <f>IFERROR(INDEX('Dropdown Data'!$D$33:$D$36,MATCH(H84,'Dropdown Data'!$B$33:$B$36,0)),IFERROR(INDEX('Dropdown Data'!$D$33:$D$36,MATCH(H84,'Dropdown Data'!$C$33:$C$36,0)),H84))</f>
        <v>0</v>
      </c>
      <c r="R84" s="10">
        <v>55</v>
      </c>
      <c r="S84" s="10" t="b">
        <f t="shared" si="2"/>
        <v>1</v>
      </c>
      <c r="T84" s="10">
        <f t="shared" si="3"/>
        <v>10</v>
      </c>
      <c r="U84" s="10" t="e">
        <f>IFERROR(VLOOKUP(B84,Modules!$E$11:$K$25,6,0),IFERROR(VLOOKUP(B84,Modules!$F$11:$K$25,5,0),VLOOKUP(B84,Modules!$G$11:$K$25,4,0)))</f>
        <v>#N/A</v>
      </c>
      <c r="V84" s="10" t="e">
        <f>MATCH(U84,Interventions!C:C,0)</f>
        <v>#N/A</v>
      </c>
      <c r="W84" s="10" t="e">
        <f>MATCH(U84,Interventions!C:C,1)</f>
        <v>#N/A</v>
      </c>
    </row>
    <row r="85" spans="1:23" ht="39.9" customHeight="1" x14ac:dyDescent="0.35">
      <c r="A85" s="30"/>
      <c r="B85" s="71"/>
      <c r="C85" s="71"/>
      <c r="D85" s="103"/>
      <c r="E85" s="104" t="str">
        <f>IF(IF(Modules!$D$4="EUR",D85*($T$112),$D85)=0,"",IF(Modules!$D$4="EUR",D85*($T$112),$D85))</f>
        <v/>
      </c>
      <c r="F85" s="31"/>
      <c r="G85" s="31"/>
      <c r="H85" s="30"/>
      <c r="I85" s="102"/>
      <c r="J85" s="30"/>
      <c r="K85" s="73" t="str">
        <f>IFERROR(VLOOKUP(B85,Modules!C:D,2,0),"")</f>
        <v/>
      </c>
      <c r="L85" s="69" t="str">
        <f>IFERROR(VLOOKUP($C85,Interventions!E:F,2,0),IFERROR(VLOOKUP($C85,Interventions!I:L,4,0),IFERROR(VLOOKUP($C85,Interventions!J:L,3,0),"")))</f>
        <v/>
      </c>
      <c r="M85" s="102" t="str">
        <f>IF(IF(Modules!$D$4="EUR",I85/($T$112),$I85)=0,"",IF(Modules!$D$4="EUR",I85/($T$112),$I85))</f>
        <v/>
      </c>
      <c r="N85" s="30" t="str">
        <f>CLEAN(IFERROR(VLOOKUP($C85,Interventions!$E$1:$K$407,7,0),""))</f>
        <v/>
      </c>
      <c r="O85" s="30" t="str">
        <f>CLEAN(IF(C85="","",CONCATENATE(Modules!$B$8,"/",'PAAR UPDATE'!N85,R85)))</f>
        <v/>
      </c>
      <c r="P85" s="10">
        <f>IFERROR(INDEX('Dropdown Data'!$D$33:$D$35,MATCH(A85,'Dropdown Data'!$B$33:$B$35,0)),IFERROR(INDEX('Dropdown Data'!$D$33:$D$35,MATCH(A85,'Dropdown Data'!$C$33:$C$35,0)),A85))</f>
        <v>0</v>
      </c>
      <c r="Q85" s="10">
        <f>IFERROR(INDEX('Dropdown Data'!$D$33:$D$36,MATCH(H85,'Dropdown Data'!$B$33:$B$36,0)),IFERROR(INDEX('Dropdown Data'!$D$33:$D$36,MATCH(H85,'Dropdown Data'!$C$33:$C$36,0)),H85))</f>
        <v>0</v>
      </c>
      <c r="R85" s="10">
        <v>56</v>
      </c>
      <c r="S85" s="10" t="b">
        <f t="shared" si="2"/>
        <v>1</v>
      </c>
      <c r="T85" s="10">
        <f t="shared" si="3"/>
        <v>10</v>
      </c>
      <c r="U85" s="10" t="e">
        <f>IFERROR(VLOOKUP(B85,Modules!$E$11:$K$25,6,0),IFERROR(VLOOKUP(B85,Modules!$F$11:$K$25,5,0),VLOOKUP(B85,Modules!$G$11:$K$25,4,0)))</f>
        <v>#N/A</v>
      </c>
      <c r="V85" s="10" t="e">
        <f>MATCH(U85,Interventions!C:C,0)</f>
        <v>#N/A</v>
      </c>
      <c r="W85" s="10" t="e">
        <f>MATCH(U85,Interventions!C:C,1)</f>
        <v>#N/A</v>
      </c>
    </row>
    <row r="86" spans="1:23" ht="39.9" customHeight="1" x14ac:dyDescent="0.35">
      <c r="A86" s="30"/>
      <c r="B86" s="71"/>
      <c r="C86" s="71"/>
      <c r="D86" s="103"/>
      <c r="E86" s="104" t="str">
        <f>IF(IF(Modules!$D$4="EUR",D86*($T$112),$D86)=0,"",IF(Modules!$D$4="EUR",D86*($T$112),$D86))</f>
        <v/>
      </c>
      <c r="F86" s="31"/>
      <c r="G86" s="31"/>
      <c r="H86" s="30"/>
      <c r="I86" s="102"/>
      <c r="J86" s="30"/>
      <c r="K86" s="73" t="str">
        <f>IFERROR(VLOOKUP(B86,Modules!C:D,2,0),"")</f>
        <v/>
      </c>
      <c r="L86" s="69" t="str">
        <f>IFERROR(VLOOKUP($C86,Interventions!E:F,2,0),IFERROR(VLOOKUP($C86,Interventions!I:L,4,0),IFERROR(VLOOKUP($C86,Interventions!J:L,3,0),"")))</f>
        <v/>
      </c>
      <c r="M86" s="102" t="str">
        <f>IF(IF(Modules!$D$4="EUR",I86/($T$112),$I86)=0,"",IF(Modules!$D$4="EUR",I86/($T$112),$I86))</f>
        <v/>
      </c>
      <c r="N86" s="30" t="str">
        <f>CLEAN(IFERROR(VLOOKUP($C86,Interventions!$E$1:$K$407,7,0),""))</f>
        <v/>
      </c>
      <c r="O86" s="30" t="str">
        <f>CLEAN(IF(C86="","",CONCATENATE(Modules!$B$8,"/",'PAAR UPDATE'!N86,R86)))</f>
        <v/>
      </c>
      <c r="P86" s="10">
        <f>IFERROR(INDEX('Dropdown Data'!$D$33:$D$35,MATCH(A86,'Dropdown Data'!$B$33:$B$35,0)),IFERROR(INDEX('Dropdown Data'!$D$33:$D$35,MATCH(A86,'Dropdown Data'!$C$33:$C$35,0)),A86))</f>
        <v>0</v>
      </c>
      <c r="Q86" s="10">
        <f>IFERROR(INDEX('Dropdown Data'!$D$33:$D$36,MATCH(H86,'Dropdown Data'!$B$33:$B$36,0)),IFERROR(INDEX('Dropdown Data'!$D$33:$D$36,MATCH(H86,'Dropdown Data'!$C$33:$C$36,0)),H86))</f>
        <v>0</v>
      </c>
      <c r="R86" s="10">
        <v>57</v>
      </c>
      <c r="S86" s="10" t="b">
        <f t="shared" si="2"/>
        <v>1</v>
      </c>
      <c r="T86" s="10">
        <f t="shared" si="3"/>
        <v>10</v>
      </c>
      <c r="U86" s="10" t="e">
        <f>IFERROR(VLOOKUP(B86,Modules!$E$11:$K$25,6,0),IFERROR(VLOOKUP(B86,Modules!$F$11:$K$25,5,0),VLOOKUP(B86,Modules!$G$11:$K$25,4,0)))</f>
        <v>#N/A</v>
      </c>
      <c r="V86" s="10" t="e">
        <f>MATCH(U86,Interventions!C:C,0)</f>
        <v>#N/A</v>
      </c>
      <c r="W86" s="10" t="e">
        <f>MATCH(U86,Interventions!C:C,1)</f>
        <v>#N/A</v>
      </c>
    </row>
    <row r="87" spans="1:23" ht="39.9" customHeight="1" x14ac:dyDescent="0.35">
      <c r="A87" s="30"/>
      <c r="B87" s="71"/>
      <c r="C87" s="71"/>
      <c r="D87" s="103"/>
      <c r="E87" s="104" t="str">
        <f>IF(IF(Modules!$D$4="EUR",D87*($T$112),$D87)=0,"",IF(Modules!$D$4="EUR",D87*($T$112),$D87))</f>
        <v/>
      </c>
      <c r="F87" s="31"/>
      <c r="G87" s="31"/>
      <c r="H87" s="30"/>
      <c r="I87" s="102"/>
      <c r="J87" s="30"/>
      <c r="K87" s="73" t="str">
        <f>IFERROR(VLOOKUP(B87,Modules!C:D,2,0),"")</f>
        <v/>
      </c>
      <c r="L87" s="69" t="str">
        <f>IFERROR(VLOOKUP($C87,Interventions!E:F,2,0),IFERROR(VLOOKUP($C87,Interventions!I:L,4,0),IFERROR(VLOOKUP($C87,Interventions!J:L,3,0),"")))</f>
        <v/>
      </c>
      <c r="M87" s="102" t="str">
        <f>IF(IF(Modules!$D$4="EUR",I87/($T$112),$I87)=0,"",IF(Modules!$D$4="EUR",I87/($T$112),$I87))</f>
        <v/>
      </c>
      <c r="N87" s="30" t="str">
        <f>CLEAN(IFERROR(VLOOKUP($C87,Interventions!$E$1:$K$407,7,0),""))</f>
        <v/>
      </c>
      <c r="O87" s="30" t="str">
        <f>CLEAN(IF(C87="","",CONCATENATE(Modules!$B$8,"/",'PAAR UPDATE'!N87,R87)))</f>
        <v/>
      </c>
      <c r="P87" s="10">
        <f>IFERROR(INDEX('Dropdown Data'!$D$33:$D$35,MATCH(A87,'Dropdown Data'!$B$33:$B$35,0)),IFERROR(INDEX('Dropdown Data'!$D$33:$D$35,MATCH(A87,'Dropdown Data'!$C$33:$C$35,0)),A87))</f>
        <v>0</v>
      </c>
      <c r="Q87" s="10">
        <f>IFERROR(INDEX('Dropdown Data'!$D$33:$D$36,MATCH(H87,'Dropdown Data'!$B$33:$B$36,0)),IFERROR(INDEX('Dropdown Data'!$D$33:$D$36,MATCH(H87,'Dropdown Data'!$C$33:$C$36,0)),H87))</f>
        <v>0</v>
      </c>
      <c r="R87" s="10">
        <v>58</v>
      </c>
      <c r="S87" s="10" t="b">
        <f t="shared" si="2"/>
        <v>1</v>
      </c>
      <c r="T87" s="10">
        <f t="shared" si="3"/>
        <v>10</v>
      </c>
      <c r="U87" s="10" t="e">
        <f>IFERROR(VLOOKUP(B87,Modules!$E$11:$K$25,6,0),IFERROR(VLOOKUP(B87,Modules!$F$11:$K$25,5,0),VLOOKUP(B87,Modules!$G$11:$K$25,4,0)))</f>
        <v>#N/A</v>
      </c>
      <c r="V87" s="10" t="e">
        <f>MATCH(U87,Interventions!C:C,0)</f>
        <v>#N/A</v>
      </c>
      <c r="W87" s="10" t="e">
        <f>MATCH(U87,Interventions!C:C,1)</f>
        <v>#N/A</v>
      </c>
    </row>
    <row r="88" spans="1:23" ht="39.9" customHeight="1" x14ac:dyDescent="0.35">
      <c r="A88" s="30"/>
      <c r="B88" s="71"/>
      <c r="C88" s="71"/>
      <c r="D88" s="103"/>
      <c r="E88" s="104" t="str">
        <f>IF(IF(Modules!$D$4="EUR",D88*($T$112),$D88)=0,"",IF(Modules!$D$4="EUR",D88*($T$112),$D88))</f>
        <v/>
      </c>
      <c r="F88" s="31"/>
      <c r="G88" s="31"/>
      <c r="H88" s="30"/>
      <c r="I88" s="102"/>
      <c r="J88" s="30"/>
      <c r="K88" s="73" t="str">
        <f>IFERROR(VLOOKUP(B88,Modules!C:D,2,0),"")</f>
        <v/>
      </c>
      <c r="L88" s="69" t="str">
        <f>IFERROR(VLOOKUP($C88,Interventions!E:F,2,0),IFERROR(VLOOKUP($C88,Interventions!I:L,4,0),IFERROR(VLOOKUP($C88,Interventions!J:L,3,0),"")))</f>
        <v/>
      </c>
      <c r="M88" s="102" t="str">
        <f>IF(IF(Modules!$D$4="EUR",I88/($T$112),$I88)=0,"",IF(Modules!$D$4="EUR",I88/($T$112),$I88))</f>
        <v/>
      </c>
      <c r="N88" s="30" t="str">
        <f>CLEAN(IFERROR(VLOOKUP($C88,Interventions!$E$1:$K$407,7,0),""))</f>
        <v/>
      </c>
      <c r="O88" s="30" t="str">
        <f>CLEAN(IF(C88="","",CONCATENATE(Modules!$B$8,"/",'PAAR UPDATE'!N88,R88)))</f>
        <v/>
      </c>
      <c r="P88" s="10">
        <f>IFERROR(INDEX('Dropdown Data'!$D$33:$D$35,MATCH(A88,'Dropdown Data'!$B$33:$B$35,0)),IFERROR(INDEX('Dropdown Data'!$D$33:$D$35,MATCH(A88,'Dropdown Data'!$C$33:$C$35,0)),A88))</f>
        <v>0</v>
      </c>
      <c r="Q88" s="10">
        <f>IFERROR(INDEX('Dropdown Data'!$D$33:$D$36,MATCH(H88,'Dropdown Data'!$B$33:$B$36,0)),IFERROR(INDEX('Dropdown Data'!$D$33:$D$36,MATCH(H88,'Dropdown Data'!$C$33:$C$36,0)),H88))</f>
        <v>0</v>
      </c>
      <c r="R88" s="10">
        <v>59</v>
      </c>
      <c r="S88" s="10" t="b">
        <f t="shared" si="2"/>
        <v>1</v>
      </c>
      <c r="T88" s="10">
        <f t="shared" si="3"/>
        <v>10</v>
      </c>
      <c r="U88" s="10" t="e">
        <f>IFERROR(VLOOKUP(B88,Modules!$E$11:$K$25,6,0),IFERROR(VLOOKUP(B88,Modules!$F$11:$K$25,5,0),VLOOKUP(B88,Modules!$G$11:$K$25,4,0)))</f>
        <v>#N/A</v>
      </c>
      <c r="V88" s="10" t="e">
        <f>MATCH(U88,Interventions!C:C,0)</f>
        <v>#N/A</v>
      </c>
      <c r="W88" s="10" t="e">
        <f>MATCH(U88,Interventions!C:C,1)</f>
        <v>#N/A</v>
      </c>
    </row>
    <row r="89" spans="1:23" ht="39.9" customHeight="1" x14ac:dyDescent="0.35">
      <c r="A89" s="30"/>
      <c r="B89" s="71"/>
      <c r="C89" s="71"/>
      <c r="D89" s="103"/>
      <c r="E89" s="104" t="str">
        <f>IF(IF(Modules!$D$4="EUR",D89*($T$112),$D89)=0,"",IF(Modules!$D$4="EUR",D89*($T$112),$D89))</f>
        <v/>
      </c>
      <c r="F89" s="31"/>
      <c r="G89" s="31"/>
      <c r="H89" s="30"/>
      <c r="I89" s="102"/>
      <c r="J89" s="30"/>
      <c r="K89" s="73" t="str">
        <f>IFERROR(VLOOKUP(B89,Modules!C:D,2,0),"")</f>
        <v/>
      </c>
      <c r="L89" s="69" t="str">
        <f>IFERROR(VLOOKUP($C89,Interventions!E:F,2,0),IFERROR(VLOOKUP($C89,Interventions!I:L,4,0),IFERROR(VLOOKUP($C89,Interventions!J:L,3,0),"")))</f>
        <v/>
      </c>
      <c r="M89" s="102" t="str">
        <f>IF(IF(Modules!$D$4="EUR",I89/($T$112),$I89)=0,"",IF(Modules!$D$4="EUR",I89/($T$112),$I89))</f>
        <v/>
      </c>
      <c r="N89" s="30" t="str">
        <f>CLEAN(IFERROR(VLOOKUP($C89,Interventions!$E$1:$K$407,7,0),""))</f>
        <v/>
      </c>
      <c r="O89" s="30" t="str">
        <f>CLEAN(IF(C89="","",CONCATENATE(Modules!$B$8,"/",'PAAR UPDATE'!N89,R89)))</f>
        <v/>
      </c>
      <c r="P89" s="10">
        <f>IFERROR(INDEX('Dropdown Data'!$D$33:$D$35,MATCH(A89,'Dropdown Data'!$B$33:$B$35,0)),IFERROR(INDEX('Dropdown Data'!$D$33:$D$35,MATCH(A89,'Dropdown Data'!$C$33:$C$35,0)),A89))</f>
        <v>0</v>
      </c>
      <c r="Q89" s="10">
        <f>IFERROR(INDEX('Dropdown Data'!$D$33:$D$36,MATCH(H89,'Dropdown Data'!$B$33:$B$36,0)),IFERROR(INDEX('Dropdown Data'!$D$33:$D$36,MATCH(H89,'Dropdown Data'!$C$33:$C$36,0)),H89))</f>
        <v>0</v>
      </c>
      <c r="R89" s="10">
        <v>60</v>
      </c>
      <c r="S89" s="10" t="b">
        <f t="shared" si="2"/>
        <v>1</v>
      </c>
      <c r="T89" s="10">
        <f t="shared" si="3"/>
        <v>10</v>
      </c>
      <c r="U89" s="10" t="e">
        <f>IFERROR(VLOOKUP(B89,Modules!$E$11:$K$25,6,0),IFERROR(VLOOKUP(B89,Modules!$F$11:$K$25,5,0),VLOOKUP(B89,Modules!$G$11:$K$25,4,0)))</f>
        <v>#N/A</v>
      </c>
      <c r="V89" s="10" t="e">
        <f>MATCH(U89,Interventions!C:C,0)</f>
        <v>#N/A</v>
      </c>
      <c r="W89" s="10" t="e">
        <f>MATCH(U89,Interventions!C:C,1)</f>
        <v>#N/A</v>
      </c>
    </row>
    <row r="90" spans="1:23" ht="39.9" customHeight="1" x14ac:dyDescent="0.35">
      <c r="A90" s="30"/>
      <c r="B90" s="71"/>
      <c r="C90" s="71"/>
      <c r="D90" s="103"/>
      <c r="E90" s="104" t="str">
        <f>IF(IF(Modules!$D$4="EUR",D90*($T$112),$D90)=0,"",IF(Modules!$D$4="EUR",D90*($T$112),$D90))</f>
        <v/>
      </c>
      <c r="F90" s="31"/>
      <c r="G90" s="31"/>
      <c r="H90" s="30"/>
      <c r="I90" s="102"/>
      <c r="J90" s="30"/>
      <c r="K90" s="73" t="str">
        <f>IFERROR(VLOOKUP(B90,Modules!C:D,2,0),"")</f>
        <v/>
      </c>
      <c r="L90" s="69" t="str">
        <f>IFERROR(VLOOKUP($C90,Interventions!E:F,2,0),IFERROR(VLOOKUP($C90,Interventions!I:L,4,0),IFERROR(VLOOKUP($C90,Interventions!J:L,3,0),"")))</f>
        <v/>
      </c>
      <c r="M90" s="102" t="str">
        <f>IF(IF(Modules!$D$4="EUR",I90/($T$112),$I90)=0,"",IF(Modules!$D$4="EUR",I90/($T$112),$I90))</f>
        <v/>
      </c>
      <c r="N90" s="30" t="str">
        <f>CLEAN(IFERROR(VLOOKUP($C90,Interventions!$E$1:$K$407,7,0),""))</f>
        <v/>
      </c>
      <c r="O90" s="30" t="str">
        <f>CLEAN(IF(C90="","",CONCATENATE(Modules!$B$8,"/",'PAAR UPDATE'!N90,R90)))</f>
        <v/>
      </c>
      <c r="P90" s="10">
        <f>IFERROR(INDEX('Dropdown Data'!$D$33:$D$35,MATCH(A90,'Dropdown Data'!$B$33:$B$35,0)),IFERROR(INDEX('Dropdown Data'!$D$33:$D$35,MATCH(A90,'Dropdown Data'!$C$33:$C$35,0)),A90))</f>
        <v>0</v>
      </c>
      <c r="Q90" s="10">
        <f>IFERROR(INDEX('Dropdown Data'!$D$33:$D$36,MATCH(H90,'Dropdown Data'!$B$33:$B$36,0)),IFERROR(INDEX('Dropdown Data'!$D$33:$D$36,MATCH(H90,'Dropdown Data'!$C$33:$C$36,0)),H90))</f>
        <v>0</v>
      </c>
      <c r="R90" s="10">
        <v>61</v>
      </c>
      <c r="S90" s="10" t="b">
        <f t="shared" si="2"/>
        <v>1</v>
      </c>
      <c r="T90" s="10">
        <f t="shared" si="3"/>
        <v>10</v>
      </c>
      <c r="U90" s="10" t="e">
        <f>IFERROR(VLOOKUP(B90,Modules!$E$11:$K$25,6,0),IFERROR(VLOOKUP(B90,Modules!$F$11:$K$25,5,0),VLOOKUP(B90,Modules!$G$11:$K$25,4,0)))</f>
        <v>#N/A</v>
      </c>
      <c r="V90" s="10" t="e">
        <f>MATCH(U90,Interventions!C:C,0)</f>
        <v>#N/A</v>
      </c>
      <c r="W90" s="10" t="e">
        <f>MATCH(U90,Interventions!C:C,1)</f>
        <v>#N/A</v>
      </c>
    </row>
    <row r="91" spans="1:23" ht="39.9" customHeight="1" x14ac:dyDescent="0.35">
      <c r="A91" s="30"/>
      <c r="B91" s="71"/>
      <c r="C91" s="71"/>
      <c r="D91" s="103"/>
      <c r="E91" s="104" t="str">
        <f>IF(IF(Modules!$D$4="EUR",D91*($T$112),$D91)=0,"",IF(Modules!$D$4="EUR",D91*($T$112),$D91))</f>
        <v/>
      </c>
      <c r="F91" s="31"/>
      <c r="G91" s="31"/>
      <c r="H91" s="30"/>
      <c r="I91" s="102"/>
      <c r="J91" s="30"/>
      <c r="K91" s="73" t="str">
        <f>IFERROR(VLOOKUP(B91,Modules!C:D,2,0),"")</f>
        <v/>
      </c>
      <c r="L91" s="69" t="str">
        <f>IFERROR(VLOOKUP($C91,Interventions!E:F,2,0),IFERROR(VLOOKUP($C91,Interventions!I:L,4,0),IFERROR(VLOOKUP($C91,Interventions!J:L,3,0),"")))</f>
        <v/>
      </c>
      <c r="M91" s="102" t="str">
        <f>IF(IF(Modules!$D$4="EUR",I91/($T$112),$I91)=0,"",IF(Modules!$D$4="EUR",I91/($T$112),$I91))</f>
        <v/>
      </c>
      <c r="N91" s="30" t="str">
        <f>CLEAN(IFERROR(VLOOKUP($C91,Interventions!$E$1:$K$407,7,0),""))</f>
        <v/>
      </c>
      <c r="O91" s="30" t="str">
        <f>CLEAN(IF(C91="","",CONCATENATE(Modules!$B$8,"/",'PAAR UPDATE'!N91,R91)))</f>
        <v/>
      </c>
      <c r="P91" s="10">
        <f>IFERROR(INDEX('Dropdown Data'!$D$33:$D$35,MATCH(A91,'Dropdown Data'!$B$33:$B$35,0)),IFERROR(INDEX('Dropdown Data'!$D$33:$D$35,MATCH(A91,'Dropdown Data'!$C$33:$C$35,0)),A91))</f>
        <v>0</v>
      </c>
      <c r="Q91" s="10">
        <f>IFERROR(INDEX('Dropdown Data'!$D$33:$D$36,MATCH(H91,'Dropdown Data'!$B$33:$B$36,0)),IFERROR(INDEX('Dropdown Data'!$D$33:$D$36,MATCH(H91,'Dropdown Data'!$C$33:$C$36,0)),H91))</f>
        <v>0</v>
      </c>
      <c r="R91" s="10">
        <v>62</v>
      </c>
      <c r="S91" s="10" t="b">
        <f t="shared" si="2"/>
        <v>1</v>
      </c>
      <c r="T91" s="10">
        <f t="shared" si="3"/>
        <v>10</v>
      </c>
      <c r="U91" s="10" t="e">
        <f>IFERROR(VLOOKUP(B91,Modules!$E$11:$K$25,6,0),IFERROR(VLOOKUP(B91,Modules!$F$11:$K$25,5,0),VLOOKUP(B91,Modules!$G$11:$K$25,4,0)))</f>
        <v>#N/A</v>
      </c>
      <c r="V91" s="10" t="e">
        <f>MATCH(U91,Interventions!C:C,0)</f>
        <v>#N/A</v>
      </c>
      <c r="W91" s="10" t="e">
        <f>MATCH(U91,Interventions!C:C,1)</f>
        <v>#N/A</v>
      </c>
    </row>
    <row r="92" spans="1:23" ht="39.9" customHeight="1" x14ac:dyDescent="0.35">
      <c r="A92" s="30"/>
      <c r="B92" s="71"/>
      <c r="C92" s="71"/>
      <c r="D92" s="103"/>
      <c r="E92" s="104" t="str">
        <f>IF(IF(Modules!$D$4="EUR",D92*($T$112),$D92)=0,"",IF(Modules!$D$4="EUR",D92*($T$112),$D92))</f>
        <v/>
      </c>
      <c r="F92" s="31"/>
      <c r="G92" s="31"/>
      <c r="H92" s="30"/>
      <c r="I92" s="102"/>
      <c r="J92" s="30"/>
      <c r="K92" s="73" t="str">
        <f>IFERROR(VLOOKUP(B92,Modules!C:D,2,0),"")</f>
        <v/>
      </c>
      <c r="L92" s="69" t="str">
        <f>IFERROR(VLOOKUP($C92,Interventions!E:F,2,0),IFERROR(VLOOKUP($C92,Interventions!I:L,4,0),IFERROR(VLOOKUP($C92,Interventions!J:L,3,0),"")))</f>
        <v/>
      </c>
      <c r="M92" s="102" t="str">
        <f>IF(IF(Modules!$D$4="EUR",I92/($T$112),$I92)=0,"",IF(Modules!$D$4="EUR",I92/($T$112),$I92))</f>
        <v/>
      </c>
      <c r="N92" s="30" t="str">
        <f>CLEAN(IFERROR(VLOOKUP($C92,Interventions!$E$1:$K$407,7,0),""))</f>
        <v/>
      </c>
      <c r="O92" s="30" t="str">
        <f>CLEAN(IF(C92="","",CONCATENATE(Modules!$B$8,"/",'PAAR UPDATE'!N92,R92)))</f>
        <v/>
      </c>
      <c r="P92" s="10">
        <f>IFERROR(INDEX('Dropdown Data'!$D$33:$D$35,MATCH(A92,'Dropdown Data'!$B$33:$B$35,0)),IFERROR(INDEX('Dropdown Data'!$D$33:$D$35,MATCH(A92,'Dropdown Data'!$C$33:$C$35,0)),A92))</f>
        <v>0</v>
      </c>
      <c r="Q92" s="10">
        <f>IFERROR(INDEX('Dropdown Data'!$D$33:$D$36,MATCH(H92,'Dropdown Data'!$B$33:$B$36,0)),IFERROR(INDEX('Dropdown Data'!$D$33:$D$36,MATCH(H92,'Dropdown Data'!$C$33:$C$36,0)),H92))</f>
        <v>0</v>
      </c>
      <c r="R92" s="10">
        <v>63</v>
      </c>
      <c r="S92" s="10" t="b">
        <f t="shared" si="2"/>
        <v>1</v>
      </c>
      <c r="T92" s="10">
        <f t="shared" si="3"/>
        <v>10</v>
      </c>
      <c r="U92" s="10" t="e">
        <f>IFERROR(VLOOKUP(B92,Modules!$E$11:$K$25,6,0),IFERROR(VLOOKUP(B92,Modules!$F$11:$K$25,5,0),VLOOKUP(B92,Modules!$G$11:$K$25,4,0)))</f>
        <v>#N/A</v>
      </c>
      <c r="V92" s="10" t="e">
        <f>MATCH(U92,Interventions!C:C,0)</f>
        <v>#N/A</v>
      </c>
      <c r="W92" s="10" t="e">
        <f>MATCH(U92,Interventions!C:C,1)</f>
        <v>#N/A</v>
      </c>
    </row>
    <row r="93" spans="1:23" ht="39.9" customHeight="1" x14ac:dyDescent="0.35">
      <c r="A93" s="30"/>
      <c r="B93" s="71"/>
      <c r="C93" s="71"/>
      <c r="D93" s="103"/>
      <c r="E93" s="104" t="str">
        <f>IF(IF(Modules!$D$4="EUR",D93*($T$112),$D93)=0,"",IF(Modules!$D$4="EUR",D93*($T$112),$D93))</f>
        <v/>
      </c>
      <c r="F93" s="31"/>
      <c r="G93" s="31"/>
      <c r="H93" s="30"/>
      <c r="I93" s="102"/>
      <c r="J93" s="30"/>
      <c r="K93" s="73" t="str">
        <f>IFERROR(VLOOKUP(B93,Modules!C:D,2,0),"")</f>
        <v/>
      </c>
      <c r="L93" s="69" t="str">
        <f>IFERROR(VLOOKUP($C93,Interventions!E:F,2,0),IFERROR(VLOOKUP($C93,Interventions!I:L,4,0),IFERROR(VLOOKUP($C93,Interventions!J:L,3,0),"")))</f>
        <v/>
      </c>
      <c r="M93" s="102" t="str">
        <f>IF(IF(Modules!$D$4="EUR",I93/($T$112),$I93)=0,"",IF(Modules!$D$4="EUR",I93/($T$112),$I93))</f>
        <v/>
      </c>
      <c r="N93" s="30" t="str">
        <f>CLEAN(IFERROR(VLOOKUP($C93,Interventions!$E$1:$K$407,7,0),""))</f>
        <v/>
      </c>
      <c r="O93" s="30" t="str">
        <f>CLEAN(IF(C93="","",CONCATENATE(Modules!$B$8,"/",'PAAR UPDATE'!N93,R93)))</f>
        <v/>
      </c>
      <c r="P93" s="10">
        <f>IFERROR(INDEX('Dropdown Data'!$D$33:$D$35,MATCH(A93,'Dropdown Data'!$B$33:$B$35,0)),IFERROR(INDEX('Dropdown Data'!$D$33:$D$35,MATCH(A93,'Dropdown Data'!$C$33:$C$35,0)),A93))</f>
        <v>0</v>
      </c>
      <c r="Q93" s="10">
        <f>IFERROR(INDEX('Dropdown Data'!$D$33:$D$36,MATCH(H93,'Dropdown Data'!$B$33:$B$36,0)),IFERROR(INDEX('Dropdown Data'!$D$33:$D$36,MATCH(H93,'Dropdown Data'!$C$33:$C$36,0)),H93))</f>
        <v>0</v>
      </c>
      <c r="R93" s="10">
        <v>64</v>
      </c>
      <c r="S93" s="10" t="b">
        <f t="shared" si="2"/>
        <v>1</v>
      </c>
      <c r="T93" s="10">
        <f t="shared" si="3"/>
        <v>10</v>
      </c>
      <c r="U93" s="10" t="e">
        <f>IFERROR(VLOOKUP(B93,Modules!$E$11:$K$25,6,0),IFERROR(VLOOKUP(B93,Modules!$F$11:$K$25,5,0),VLOOKUP(B93,Modules!$G$11:$K$25,4,0)))</f>
        <v>#N/A</v>
      </c>
      <c r="V93" s="10" t="e">
        <f>MATCH(U93,Interventions!C:C,0)</f>
        <v>#N/A</v>
      </c>
      <c r="W93" s="10" t="e">
        <f>MATCH(U93,Interventions!C:C,1)</f>
        <v>#N/A</v>
      </c>
    </row>
    <row r="94" spans="1:23" ht="39.9" customHeight="1" x14ac:dyDescent="0.35">
      <c r="A94" s="30"/>
      <c r="B94" s="71"/>
      <c r="C94" s="71"/>
      <c r="D94" s="103"/>
      <c r="E94" s="104" t="str">
        <f>IF(IF(Modules!$D$4="EUR",D94*($T$112),$D94)=0,"",IF(Modules!$D$4="EUR",D94*($T$112),$D94))</f>
        <v/>
      </c>
      <c r="F94" s="31"/>
      <c r="G94" s="31"/>
      <c r="H94" s="30"/>
      <c r="I94" s="102"/>
      <c r="J94" s="30"/>
      <c r="K94" s="73" t="str">
        <f>IFERROR(VLOOKUP(B94,Modules!C:D,2,0),"")</f>
        <v/>
      </c>
      <c r="L94" s="69" t="str">
        <f>IFERROR(VLOOKUP($C94,Interventions!E:F,2,0),IFERROR(VLOOKUP($C94,Interventions!I:L,4,0),IFERROR(VLOOKUP($C94,Interventions!J:L,3,0),"")))</f>
        <v/>
      </c>
      <c r="M94" s="102" t="str">
        <f>IF(IF(Modules!$D$4="EUR",I94/($T$112),$I94)=0,"",IF(Modules!$D$4="EUR",I94/($T$112),$I94))</f>
        <v/>
      </c>
      <c r="N94" s="30" t="str">
        <f>CLEAN(IFERROR(VLOOKUP($C94,Interventions!$E$1:$K$407,7,0),""))</f>
        <v/>
      </c>
      <c r="O94" s="30" t="str">
        <f>CLEAN(IF(C94="","",CONCATENATE(Modules!$B$8,"/",'PAAR UPDATE'!N94,R94)))</f>
        <v/>
      </c>
      <c r="P94" s="10">
        <f>IFERROR(INDEX('Dropdown Data'!$D$33:$D$35,MATCH(A94,'Dropdown Data'!$B$33:$B$35,0)),IFERROR(INDEX('Dropdown Data'!$D$33:$D$35,MATCH(A94,'Dropdown Data'!$C$33:$C$35,0)),A94))</f>
        <v>0</v>
      </c>
      <c r="Q94" s="10">
        <f>IFERROR(INDEX('Dropdown Data'!$D$33:$D$36,MATCH(H94,'Dropdown Data'!$B$33:$B$36,0)),IFERROR(INDEX('Dropdown Data'!$D$33:$D$36,MATCH(H94,'Dropdown Data'!$C$33:$C$36,0)),H94))</f>
        <v>0</v>
      </c>
      <c r="R94" s="10">
        <v>65</v>
      </c>
      <c r="S94" s="10" t="b">
        <f t="shared" ref="S94:S110" si="4">IF(AND($B$17&gt;0,NOT(ISBLANK(E94)),(OR(ISBLANK(I94),ISBLANK(H94)))),TRUE,FALSE)</f>
        <v>1</v>
      </c>
      <c r="T94" s="10">
        <f t="shared" ref="T94:T110" si="5">COUNTBLANK(A94:J94)</f>
        <v>10</v>
      </c>
      <c r="U94" s="10" t="e">
        <f>IFERROR(VLOOKUP(B94,Modules!$E$11:$K$25,6,0),IFERROR(VLOOKUP(B94,Modules!$F$11:$K$25,5,0),VLOOKUP(B94,Modules!$G$11:$K$25,4,0)))</f>
        <v>#N/A</v>
      </c>
      <c r="V94" s="10" t="e">
        <f>MATCH(U94,Interventions!C:C,0)</f>
        <v>#N/A</v>
      </c>
      <c r="W94" s="10" t="e">
        <f>MATCH(U94,Interventions!C:C,1)</f>
        <v>#N/A</v>
      </c>
    </row>
    <row r="95" spans="1:23" ht="39.9" customHeight="1" x14ac:dyDescent="0.35">
      <c r="A95" s="30"/>
      <c r="B95" s="71"/>
      <c r="C95" s="71"/>
      <c r="D95" s="103"/>
      <c r="E95" s="104" t="str">
        <f>IF(IF(Modules!$D$4="EUR",D95*($T$112),$D95)=0,"",IF(Modules!$D$4="EUR",D95*($T$112),$D95))</f>
        <v/>
      </c>
      <c r="F95" s="31"/>
      <c r="G95" s="31"/>
      <c r="H95" s="30"/>
      <c r="I95" s="102"/>
      <c r="J95" s="30"/>
      <c r="K95" s="73" t="str">
        <f>IFERROR(VLOOKUP(B95,Modules!C:D,2,0),"")</f>
        <v/>
      </c>
      <c r="L95" s="69" t="str">
        <f>IFERROR(VLOOKUP($C95,Interventions!E:F,2,0),IFERROR(VLOOKUP($C95,Interventions!I:L,4,0),IFERROR(VLOOKUP($C95,Interventions!J:L,3,0),"")))</f>
        <v/>
      </c>
      <c r="M95" s="102" t="str">
        <f>IF(IF(Modules!$D$4="EUR",I95/($T$112),$I95)=0,"",IF(Modules!$D$4="EUR",I95/($T$112),$I95))</f>
        <v/>
      </c>
      <c r="N95" s="30" t="str">
        <f>CLEAN(IFERROR(VLOOKUP($C95,Interventions!$E$1:$K$407,7,0),""))</f>
        <v/>
      </c>
      <c r="O95" s="30" t="str">
        <f>CLEAN(IF(C95="","",CONCATENATE(Modules!$B$8,"/",'PAAR UPDATE'!N95,R95)))</f>
        <v/>
      </c>
      <c r="P95" s="10">
        <f>IFERROR(INDEX('Dropdown Data'!$D$33:$D$35,MATCH(A95,'Dropdown Data'!$B$33:$B$35,0)),IFERROR(INDEX('Dropdown Data'!$D$33:$D$35,MATCH(A95,'Dropdown Data'!$C$33:$C$35,0)),A95))</f>
        <v>0</v>
      </c>
      <c r="Q95" s="10">
        <f>IFERROR(INDEX('Dropdown Data'!$D$33:$D$36,MATCH(H95,'Dropdown Data'!$B$33:$B$36,0)),IFERROR(INDEX('Dropdown Data'!$D$33:$D$36,MATCH(H95,'Dropdown Data'!$C$33:$C$36,0)),H95))</f>
        <v>0</v>
      </c>
      <c r="R95" s="10">
        <v>66</v>
      </c>
      <c r="S95" s="10" t="b">
        <f t="shared" si="4"/>
        <v>1</v>
      </c>
      <c r="T95" s="10">
        <f t="shared" si="5"/>
        <v>10</v>
      </c>
      <c r="U95" s="10" t="e">
        <f>IFERROR(VLOOKUP(B95,Modules!$E$11:$K$25,6,0),IFERROR(VLOOKUP(B95,Modules!$F$11:$K$25,5,0),VLOOKUP(B95,Modules!$G$11:$K$25,4,0)))</f>
        <v>#N/A</v>
      </c>
      <c r="V95" s="10" t="e">
        <f>MATCH(U95,Interventions!C:C,0)</f>
        <v>#N/A</v>
      </c>
      <c r="W95" s="10" t="e">
        <f>MATCH(U95,Interventions!C:C,1)</f>
        <v>#N/A</v>
      </c>
    </row>
    <row r="96" spans="1:23" ht="39.9" customHeight="1" x14ac:dyDescent="0.35">
      <c r="A96" s="30"/>
      <c r="B96" s="71"/>
      <c r="C96" s="71"/>
      <c r="D96" s="103"/>
      <c r="E96" s="104" t="str">
        <f>IF(IF(Modules!$D$4="EUR",D96*($T$112),$D96)=0,"",IF(Modules!$D$4="EUR",D96*($T$112),$D96))</f>
        <v/>
      </c>
      <c r="F96" s="31"/>
      <c r="G96" s="31"/>
      <c r="H96" s="30"/>
      <c r="I96" s="102"/>
      <c r="J96" s="30"/>
      <c r="K96" s="73" t="str">
        <f>IFERROR(VLOOKUP(B96,Modules!C:D,2,0),"")</f>
        <v/>
      </c>
      <c r="L96" s="69" t="str">
        <f>IFERROR(VLOOKUP($C96,Interventions!E:F,2,0),IFERROR(VLOOKUP($C96,Interventions!I:L,4,0),IFERROR(VLOOKUP($C96,Interventions!J:L,3,0),"")))</f>
        <v/>
      </c>
      <c r="M96" s="102" t="str">
        <f>IF(IF(Modules!$D$4="EUR",I96/($T$112),$I96)=0,"",IF(Modules!$D$4="EUR",I96/($T$112),$I96))</f>
        <v/>
      </c>
      <c r="N96" s="30" t="str">
        <f>CLEAN(IFERROR(VLOOKUP($C96,Interventions!$E$1:$K$407,7,0),""))</f>
        <v/>
      </c>
      <c r="O96" s="30" t="str">
        <f>CLEAN(IF(C96="","",CONCATENATE(Modules!$B$8,"/",'PAAR UPDATE'!N96,R96)))</f>
        <v/>
      </c>
      <c r="P96" s="10">
        <f>IFERROR(INDEX('Dropdown Data'!$D$33:$D$35,MATCH(A96,'Dropdown Data'!$B$33:$B$35,0)),IFERROR(INDEX('Dropdown Data'!$D$33:$D$35,MATCH(A96,'Dropdown Data'!$C$33:$C$35,0)),A96))</f>
        <v>0</v>
      </c>
      <c r="Q96" s="10">
        <f>IFERROR(INDEX('Dropdown Data'!$D$33:$D$36,MATCH(H96,'Dropdown Data'!$B$33:$B$36,0)),IFERROR(INDEX('Dropdown Data'!$D$33:$D$36,MATCH(H96,'Dropdown Data'!$C$33:$C$36,0)),H96))</f>
        <v>0</v>
      </c>
      <c r="R96" s="10">
        <v>67</v>
      </c>
      <c r="S96" s="10" t="b">
        <f t="shared" si="4"/>
        <v>1</v>
      </c>
      <c r="T96" s="10">
        <f t="shared" si="5"/>
        <v>10</v>
      </c>
      <c r="U96" s="10" t="e">
        <f>IFERROR(VLOOKUP(B96,Modules!$E$11:$K$25,6,0),IFERROR(VLOOKUP(B96,Modules!$F$11:$K$25,5,0),VLOOKUP(B96,Modules!$G$11:$K$25,4,0)))</f>
        <v>#N/A</v>
      </c>
      <c r="V96" s="10" t="e">
        <f>MATCH(U96,Interventions!C:C,0)</f>
        <v>#N/A</v>
      </c>
      <c r="W96" s="10" t="e">
        <f>MATCH(U96,Interventions!C:C,1)</f>
        <v>#N/A</v>
      </c>
    </row>
    <row r="97" spans="1:23" ht="39.9" customHeight="1" x14ac:dyDescent="0.35">
      <c r="A97" s="30"/>
      <c r="B97" s="71"/>
      <c r="C97" s="71"/>
      <c r="D97" s="103"/>
      <c r="E97" s="104" t="str">
        <f>IF(IF(Modules!$D$4="EUR",D97*($T$112),$D97)=0,"",IF(Modules!$D$4="EUR",D97*($T$112),$D97))</f>
        <v/>
      </c>
      <c r="F97" s="31"/>
      <c r="G97" s="31"/>
      <c r="H97" s="30"/>
      <c r="I97" s="102"/>
      <c r="J97" s="30"/>
      <c r="K97" s="73" t="str">
        <f>IFERROR(VLOOKUP(B97,Modules!C:D,2,0),"")</f>
        <v/>
      </c>
      <c r="L97" s="69" t="str">
        <f>IFERROR(VLOOKUP($C97,Interventions!E:F,2,0),IFERROR(VLOOKUP($C97,Interventions!I:L,4,0),IFERROR(VLOOKUP($C97,Interventions!J:L,3,0),"")))</f>
        <v/>
      </c>
      <c r="M97" s="102" t="str">
        <f>IF(IF(Modules!$D$4="EUR",I97/($T$112),$I97)=0,"",IF(Modules!$D$4="EUR",I97/($T$112),$I97))</f>
        <v/>
      </c>
      <c r="N97" s="30" t="str">
        <f>CLEAN(IFERROR(VLOOKUP($C97,Interventions!$E$1:$K$407,7,0),""))</f>
        <v/>
      </c>
      <c r="O97" s="30" t="str">
        <f>CLEAN(IF(C97="","",CONCATENATE(Modules!$B$8,"/",'PAAR UPDATE'!N97,R97)))</f>
        <v/>
      </c>
      <c r="P97" s="10">
        <f>IFERROR(INDEX('Dropdown Data'!$D$33:$D$35,MATCH(A97,'Dropdown Data'!$B$33:$B$35,0)),IFERROR(INDEX('Dropdown Data'!$D$33:$D$35,MATCH(A97,'Dropdown Data'!$C$33:$C$35,0)),A97))</f>
        <v>0</v>
      </c>
      <c r="Q97" s="10">
        <f>IFERROR(INDEX('Dropdown Data'!$D$33:$D$36,MATCH(H97,'Dropdown Data'!$B$33:$B$36,0)),IFERROR(INDEX('Dropdown Data'!$D$33:$D$36,MATCH(H97,'Dropdown Data'!$C$33:$C$36,0)),H97))</f>
        <v>0</v>
      </c>
      <c r="R97" s="10">
        <v>68</v>
      </c>
      <c r="S97" s="10" t="b">
        <f t="shared" si="4"/>
        <v>1</v>
      </c>
      <c r="T97" s="10">
        <f t="shared" si="5"/>
        <v>10</v>
      </c>
      <c r="U97" s="10" t="e">
        <f>IFERROR(VLOOKUP(B97,Modules!$E$11:$K$25,6,0),IFERROR(VLOOKUP(B97,Modules!$F$11:$K$25,5,0),VLOOKUP(B97,Modules!$G$11:$K$25,4,0)))</f>
        <v>#N/A</v>
      </c>
      <c r="V97" s="10" t="e">
        <f>MATCH(U97,Interventions!C:C,0)</f>
        <v>#N/A</v>
      </c>
      <c r="W97" s="10" t="e">
        <f>MATCH(U97,Interventions!C:C,1)</f>
        <v>#N/A</v>
      </c>
    </row>
    <row r="98" spans="1:23" ht="39.9" customHeight="1" x14ac:dyDescent="0.35">
      <c r="A98" s="30"/>
      <c r="B98" s="71"/>
      <c r="C98" s="71"/>
      <c r="D98" s="103"/>
      <c r="E98" s="104" t="str">
        <f>IF(IF(Modules!$D$4="EUR",D98*($T$112),$D98)=0,"",IF(Modules!$D$4="EUR",D98*($T$112),$D98))</f>
        <v/>
      </c>
      <c r="F98" s="31"/>
      <c r="G98" s="31"/>
      <c r="H98" s="30"/>
      <c r="I98" s="102"/>
      <c r="J98" s="30"/>
      <c r="K98" s="73" t="str">
        <f>IFERROR(VLOOKUP(B98,Modules!C:D,2,0),"")</f>
        <v/>
      </c>
      <c r="L98" s="69" t="str">
        <f>IFERROR(VLOOKUP($C98,Interventions!E:F,2,0),IFERROR(VLOOKUP($C98,Interventions!I:L,4,0),IFERROR(VLOOKUP($C98,Interventions!J:L,3,0),"")))</f>
        <v/>
      </c>
      <c r="M98" s="102" t="str">
        <f>IF(IF(Modules!$D$4="EUR",I98/($T$112),$I98)=0,"",IF(Modules!$D$4="EUR",I98/($T$112),$I98))</f>
        <v/>
      </c>
      <c r="N98" s="30" t="str">
        <f>CLEAN(IFERROR(VLOOKUP($C98,Interventions!$E$1:$K$407,7,0),""))</f>
        <v/>
      </c>
      <c r="O98" s="30" t="str">
        <f>CLEAN(IF(C98="","",CONCATENATE(Modules!$B$8,"/",'PAAR UPDATE'!N98,R98)))</f>
        <v/>
      </c>
      <c r="P98" s="10">
        <f>IFERROR(INDEX('Dropdown Data'!$D$33:$D$35,MATCH(A98,'Dropdown Data'!$B$33:$B$35,0)),IFERROR(INDEX('Dropdown Data'!$D$33:$D$35,MATCH(A98,'Dropdown Data'!$C$33:$C$35,0)),A98))</f>
        <v>0</v>
      </c>
      <c r="Q98" s="10">
        <f>IFERROR(INDEX('Dropdown Data'!$D$33:$D$36,MATCH(H98,'Dropdown Data'!$B$33:$B$36,0)),IFERROR(INDEX('Dropdown Data'!$D$33:$D$36,MATCH(H98,'Dropdown Data'!$C$33:$C$36,0)),H98))</f>
        <v>0</v>
      </c>
      <c r="R98" s="10">
        <v>69</v>
      </c>
      <c r="S98" s="10" t="b">
        <f t="shared" si="4"/>
        <v>1</v>
      </c>
      <c r="T98" s="10">
        <f t="shared" si="5"/>
        <v>10</v>
      </c>
      <c r="U98" s="10" t="e">
        <f>IFERROR(VLOOKUP(B98,Modules!$E$11:$K$25,6,0),IFERROR(VLOOKUP(B98,Modules!$F$11:$K$25,5,0),VLOOKUP(B98,Modules!$G$11:$K$25,4,0)))</f>
        <v>#N/A</v>
      </c>
      <c r="V98" s="10" t="e">
        <f>MATCH(U98,Interventions!C:C,0)</f>
        <v>#N/A</v>
      </c>
      <c r="W98" s="10" t="e">
        <f>MATCH(U98,Interventions!C:C,1)</f>
        <v>#N/A</v>
      </c>
    </row>
    <row r="99" spans="1:23" ht="39.9" customHeight="1" x14ac:dyDescent="0.35">
      <c r="A99" s="30"/>
      <c r="B99" s="71"/>
      <c r="C99" s="71"/>
      <c r="D99" s="103"/>
      <c r="E99" s="104" t="str">
        <f>IF(IF(Modules!$D$4="EUR",D99*($T$112),$D99)=0,"",IF(Modules!$D$4="EUR",D99*($T$112),$D99))</f>
        <v/>
      </c>
      <c r="F99" s="31"/>
      <c r="G99" s="31"/>
      <c r="H99" s="30"/>
      <c r="I99" s="102"/>
      <c r="J99" s="30"/>
      <c r="K99" s="73" t="str">
        <f>IFERROR(VLOOKUP(B99,Modules!C:D,2,0),"")</f>
        <v/>
      </c>
      <c r="L99" s="69" t="str">
        <f>IFERROR(VLOOKUP($C99,Interventions!E:F,2,0),IFERROR(VLOOKUP($C99,Interventions!I:L,4,0),IFERROR(VLOOKUP($C99,Interventions!J:L,3,0),"")))</f>
        <v/>
      </c>
      <c r="M99" s="102" t="str">
        <f>IF(IF(Modules!$D$4="EUR",I99/($T$112),$I99)=0,"",IF(Modules!$D$4="EUR",I99/($T$112),$I99))</f>
        <v/>
      </c>
      <c r="N99" s="30" t="str">
        <f>CLEAN(IFERROR(VLOOKUP($C99,Interventions!$E$1:$K$407,7,0),""))</f>
        <v/>
      </c>
      <c r="O99" s="30" t="str">
        <f>CLEAN(IF(C99="","",CONCATENATE(Modules!$B$8,"/",'PAAR UPDATE'!N99,R99)))</f>
        <v/>
      </c>
      <c r="P99" s="10">
        <f>IFERROR(INDEX('Dropdown Data'!$D$33:$D$35,MATCH(A99,'Dropdown Data'!$B$33:$B$35,0)),IFERROR(INDEX('Dropdown Data'!$D$33:$D$35,MATCH(A99,'Dropdown Data'!$C$33:$C$35,0)),A99))</f>
        <v>0</v>
      </c>
      <c r="Q99" s="10">
        <f>IFERROR(INDEX('Dropdown Data'!$D$33:$D$36,MATCH(H99,'Dropdown Data'!$B$33:$B$36,0)),IFERROR(INDEX('Dropdown Data'!$D$33:$D$36,MATCH(H99,'Dropdown Data'!$C$33:$C$36,0)),H99))</f>
        <v>0</v>
      </c>
      <c r="R99" s="10">
        <v>70</v>
      </c>
      <c r="S99" s="10" t="b">
        <f t="shared" si="4"/>
        <v>1</v>
      </c>
      <c r="T99" s="10">
        <f t="shared" si="5"/>
        <v>10</v>
      </c>
      <c r="U99" s="10" t="e">
        <f>IFERROR(VLOOKUP(B99,Modules!$E$11:$K$25,6,0),IFERROR(VLOOKUP(B99,Modules!$F$11:$K$25,5,0),VLOOKUP(B99,Modules!$G$11:$K$25,4,0)))</f>
        <v>#N/A</v>
      </c>
      <c r="V99" s="10" t="e">
        <f>MATCH(U99,Interventions!C:C,0)</f>
        <v>#N/A</v>
      </c>
      <c r="W99" s="10" t="e">
        <f>MATCH(U99,Interventions!C:C,1)</f>
        <v>#N/A</v>
      </c>
    </row>
    <row r="100" spans="1:23" ht="39.9" customHeight="1" x14ac:dyDescent="0.35">
      <c r="A100" s="30"/>
      <c r="B100" s="71"/>
      <c r="C100" s="71"/>
      <c r="D100" s="103"/>
      <c r="E100" s="104" t="str">
        <f>IF(IF(Modules!$D$4="EUR",D100*($T$112),$D100)=0,"",IF(Modules!$D$4="EUR",D100*($T$112),$D100))</f>
        <v/>
      </c>
      <c r="F100" s="31"/>
      <c r="G100" s="31"/>
      <c r="H100" s="30"/>
      <c r="I100" s="102"/>
      <c r="J100" s="30"/>
      <c r="K100" s="73" t="str">
        <f>IFERROR(VLOOKUP(B100,Modules!C:D,2,0),"")</f>
        <v/>
      </c>
      <c r="L100" s="69" t="str">
        <f>IFERROR(VLOOKUP($C100,Interventions!E:F,2,0),IFERROR(VLOOKUP($C100,Interventions!I:L,4,0),IFERROR(VLOOKUP($C100,Interventions!J:L,3,0),"")))</f>
        <v/>
      </c>
      <c r="M100" s="102" t="str">
        <f>IF(IF(Modules!$D$4="EUR",I100/($T$112),$I100)=0,"",IF(Modules!$D$4="EUR",I100/($T$112),$I100))</f>
        <v/>
      </c>
      <c r="N100" s="30" t="str">
        <f>CLEAN(IFERROR(VLOOKUP($C100,Interventions!$E$1:$K$407,7,0),""))</f>
        <v/>
      </c>
      <c r="O100" s="30" t="str">
        <f>CLEAN(IF(C100="","",CONCATENATE(Modules!$B$8,"/",'PAAR UPDATE'!N100,R100)))</f>
        <v/>
      </c>
      <c r="P100" s="10">
        <f>IFERROR(INDEX('Dropdown Data'!$D$33:$D$35,MATCH(A100,'Dropdown Data'!$B$33:$B$35,0)),IFERROR(INDEX('Dropdown Data'!$D$33:$D$35,MATCH(A100,'Dropdown Data'!$C$33:$C$35,0)),A100))</f>
        <v>0</v>
      </c>
      <c r="Q100" s="10">
        <f>IFERROR(INDEX('Dropdown Data'!$D$33:$D$36,MATCH(H100,'Dropdown Data'!$B$33:$B$36,0)),IFERROR(INDEX('Dropdown Data'!$D$33:$D$36,MATCH(H100,'Dropdown Data'!$C$33:$C$36,0)),H100))</f>
        <v>0</v>
      </c>
      <c r="R100" s="10">
        <v>71</v>
      </c>
      <c r="S100" s="10" t="b">
        <f t="shared" si="4"/>
        <v>1</v>
      </c>
      <c r="T100" s="10">
        <f t="shared" si="5"/>
        <v>10</v>
      </c>
      <c r="U100" s="10" t="e">
        <f>IFERROR(VLOOKUP(B100,Modules!$E$11:$K$25,6,0),IFERROR(VLOOKUP(B100,Modules!$F$11:$K$25,5,0),VLOOKUP(B100,Modules!$G$11:$K$25,4,0)))</f>
        <v>#N/A</v>
      </c>
      <c r="V100" s="10" t="e">
        <f>MATCH(U100,Interventions!C:C,0)</f>
        <v>#N/A</v>
      </c>
      <c r="W100" s="10" t="e">
        <f>MATCH(U100,Interventions!C:C,1)</f>
        <v>#N/A</v>
      </c>
    </row>
    <row r="101" spans="1:23" ht="39.9" customHeight="1" x14ac:dyDescent="0.35">
      <c r="A101" s="30"/>
      <c r="B101" s="71"/>
      <c r="C101" s="71"/>
      <c r="D101" s="103"/>
      <c r="E101" s="104" t="str">
        <f>IF(IF(Modules!$D$4="EUR",D101*($T$112),$D101)=0,"",IF(Modules!$D$4="EUR",D101*($T$112),$D101))</f>
        <v/>
      </c>
      <c r="F101" s="31"/>
      <c r="G101" s="31"/>
      <c r="H101" s="30"/>
      <c r="I101" s="102"/>
      <c r="J101" s="30"/>
      <c r="K101" s="73" t="str">
        <f>IFERROR(VLOOKUP(B101,Modules!C:D,2,0),"")</f>
        <v/>
      </c>
      <c r="L101" s="69" t="str">
        <f>IFERROR(VLOOKUP($C101,Interventions!E:F,2,0),IFERROR(VLOOKUP($C101,Interventions!I:L,4,0),IFERROR(VLOOKUP($C101,Interventions!J:L,3,0),"")))</f>
        <v/>
      </c>
      <c r="M101" s="102" t="str">
        <f>IF(IF(Modules!$D$4="EUR",I101/($T$112),$I101)=0,"",IF(Modules!$D$4="EUR",I101/($T$112),$I101))</f>
        <v/>
      </c>
      <c r="N101" s="30" t="str">
        <f>CLEAN(IFERROR(VLOOKUP($C101,Interventions!$E$1:$K$407,7,0),""))</f>
        <v/>
      </c>
      <c r="O101" s="30" t="str">
        <f>CLEAN(IF(C101="","",CONCATENATE(Modules!$B$8,"/",'PAAR UPDATE'!N101,R101)))</f>
        <v/>
      </c>
      <c r="P101" s="10">
        <f>IFERROR(INDEX('Dropdown Data'!$D$33:$D$35,MATCH(A101,'Dropdown Data'!$B$33:$B$35,0)),IFERROR(INDEX('Dropdown Data'!$D$33:$D$35,MATCH(A101,'Dropdown Data'!$C$33:$C$35,0)),A101))</f>
        <v>0</v>
      </c>
      <c r="Q101" s="10">
        <f>IFERROR(INDEX('Dropdown Data'!$D$33:$D$36,MATCH(H101,'Dropdown Data'!$B$33:$B$36,0)),IFERROR(INDEX('Dropdown Data'!$D$33:$D$36,MATCH(H101,'Dropdown Data'!$C$33:$C$36,0)),H101))</f>
        <v>0</v>
      </c>
      <c r="R101" s="10">
        <v>72</v>
      </c>
      <c r="S101" s="10" t="b">
        <f t="shared" si="4"/>
        <v>1</v>
      </c>
      <c r="T101" s="10">
        <f t="shared" si="5"/>
        <v>10</v>
      </c>
      <c r="U101" s="10" t="e">
        <f>IFERROR(VLOOKUP(B101,Modules!$E$11:$K$25,6,0),IFERROR(VLOOKUP(B101,Modules!$F$11:$K$25,5,0),VLOOKUP(B101,Modules!$G$11:$K$25,4,0)))</f>
        <v>#N/A</v>
      </c>
      <c r="V101" s="10" t="e">
        <f>MATCH(U101,Interventions!C:C,0)</f>
        <v>#N/A</v>
      </c>
      <c r="W101" s="10" t="e">
        <f>MATCH(U101,Interventions!C:C,1)</f>
        <v>#N/A</v>
      </c>
    </row>
    <row r="102" spans="1:23" ht="39.9" customHeight="1" x14ac:dyDescent="0.35">
      <c r="A102" s="30"/>
      <c r="B102" s="71"/>
      <c r="C102" s="71"/>
      <c r="D102" s="103"/>
      <c r="E102" s="104" t="str">
        <f>IF(IF(Modules!$D$4="EUR",D102*($T$112),$D102)=0,"",IF(Modules!$D$4="EUR",D102*($T$112),$D102))</f>
        <v/>
      </c>
      <c r="F102" s="31"/>
      <c r="G102" s="31"/>
      <c r="H102" s="30"/>
      <c r="I102" s="102"/>
      <c r="J102" s="30"/>
      <c r="K102" s="73" t="str">
        <f>IFERROR(VLOOKUP(B102,Modules!C:D,2,0),"")</f>
        <v/>
      </c>
      <c r="L102" s="69" t="str">
        <f>IFERROR(VLOOKUP($C102,Interventions!E:F,2,0),IFERROR(VLOOKUP($C102,Interventions!I:L,4,0),IFERROR(VLOOKUP($C102,Interventions!J:L,3,0),"")))</f>
        <v/>
      </c>
      <c r="M102" s="102" t="str">
        <f>IF(IF(Modules!$D$4="EUR",I102/($T$112),$I102)=0,"",IF(Modules!$D$4="EUR",I102/($T$112),$I102))</f>
        <v/>
      </c>
      <c r="N102" s="30" t="str">
        <f>CLEAN(IFERROR(VLOOKUP($C102,Interventions!$E$1:$K$407,7,0),""))</f>
        <v/>
      </c>
      <c r="O102" s="30" t="str">
        <f>CLEAN(IF(C102="","",CONCATENATE(Modules!$B$8,"/",'PAAR UPDATE'!N102,R102)))</f>
        <v/>
      </c>
      <c r="P102" s="10">
        <f>IFERROR(INDEX('Dropdown Data'!$D$33:$D$35,MATCH(A102,'Dropdown Data'!$B$33:$B$35,0)),IFERROR(INDEX('Dropdown Data'!$D$33:$D$35,MATCH(A102,'Dropdown Data'!$C$33:$C$35,0)),A102))</f>
        <v>0</v>
      </c>
      <c r="Q102" s="10">
        <f>IFERROR(INDEX('Dropdown Data'!$D$33:$D$36,MATCH(H102,'Dropdown Data'!$B$33:$B$36,0)),IFERROR(INDEX('Dropdown Data'!$D$33:$D$36,MATCH(H102,'Dropdown Data'!$C$33:$C$36,0)),H102))</f>
        <v>0</v>
      </c>
      <c r="R102" s="10">
        <v>73</v>
      </c>
      <c r="S102" s="10" t="b">
        <f t="shared" si="4"/>
        <v>1</v>
      </c>
      <c r="T102" s="10">
        <f t="shared" si="5"/>
        <v>10</v>
      </c>
      <c r="U102" s="10" t="e">
        <f>IFERROR(VLOOKUP(B102,Modules!$E$11:$K$25,6,0),IFERROR(VLOOKUP(B102,Modules!$F$11:$K$25,5,0),VLOOKUP(B102,Modules!$G$11:$K$25,4,0)))</f>
        <v>#N/A</v>
      </c>
      <c r="V102" s="10" t="e">
        <f>MATCH(U102,Interventions!C:C,0)</f>
        <v>#N/A</v>
      </c>
      <c r="W102" s="10" t="e">
        <f>MATCH(U102,Interventions!C:C,1)</f>
        <v>#N/A</v>
      </c>
    </row>
    <row r="103" spans="1:23" ht="39.9" customHeight="1" x14ac:dyDescent="0.35">
      <c r="A103" s="30"/>
      <c r="B103" s="71"/>
      <c r="C103" s="71"/>
      <c r="D103" s="103"/>
      <c r="E103" s="104" t="str">
        <f>IF(IF(Modules!$D$4="EUR",D103*($T$112),$D103)=0,"",IF(Modules!$D$4="EUR",D103*($T$112),$D103))</f>
        <v/>
      </c>
      <c r="F103" s="31"/>
      <c r="G103" s="31"/>
      <c r="H103" s="30"/>
      <c r="I103" s="102"/>
      <c r="J103" s="30"/>
      <c r="K103" s="73" t="str">
        <f>IFERROR(VLOOKUP(B103,Modules!C:D,2,0),"")</f>
        <v/>
      </c>
      <c r="L103" s="69" t="str">
        <f>IFERROR(VLOOKUP($C103,Interventions!E:F,2,0),IFERROR(VLOOKUP($C103,Interventions!I:L,4,0),IFERROR(VLOOKUP($C103,Interventions!J:L,3,0),"")))</f>
        <v/>
      </c>
      <c r="M103" s="102" t="str">
        <f>IF(IF(Modules!$D$4="EUR",I103/($T$112),$I103)=0,"",IF(Modules!$D$4="EUR",I103/($T$112),$I103))</f>
        <v/>
      </c>
      <c r="N103" s="30" t="str">
        <f>CLEAN(IFERROR(VLOOKUP($C103,Interventions!$E$1:$K$407,7,0),""))</f>
        <v/>
      </c>
      <c r="O103" s="30" t="str">
        <f>CLEAN(IF(C103="","",CONCATENATE(Modules!$B$8,"/",'PAAR UPDATE'!N103,R103)))</f>
        <v/>
      </c>
      <c r="P103" s="10">
        <f>IFERROR(INDEX('Dropdown Data'!$D$33:$D$35,MATCH(A103,'Dropdown Data'!$B$33:$B$35,0)),IFERROR(INDEX('Dropdown Data'!$D$33:$D$35,MATCH(A103,'Dropdown Data'!$C$33:$C$35,0)),A103))</f>
        <v>0</v>
      </c>
      <c r="Q103" s="10">
        <f>IFERROR(INDEX('Dropdown Data'!$D$33:$D$36,MATCH(H103,'Dropdown Data'!$B$33:$B$36,0)),IFERROR(INDEX('Dropdown Data'!$D$33:$D$36,MATCH(H103,'Dropdown Data'!$C$33:$C$36,0)),H103))</f>
        <v>0</v>
      </c>
      <c r="R103" s="10">
        <v>74</v>
      </c>
      <c r="S103" s="10" t="b">
        <f t="shared" si="4"/>
        <v>1</v>
      </c>
      <c r="T103" s="10">
        <f t="shared" si="5"/>
        <v>10</v>
      </c>
      <c r="U103" s="10" t="e">
        <f>IFERROR(VLOOKUP(B103,Modules!$E$11:$K$25,6,0),IFERROR(VLOOKUP(B103,Modules!$F$11:$K$25,5,0),VLOOKUP(B103,Modules!$G$11:$K$25,4,0)))</f>
        <v>#N/A</v>
      </c>
      <c r="V103" s="10" t="e">
        <f>MATCH(U103,Interventions!C:C,0)</f>
        <v>#N/A</v>
      </c>
      <c r="W103" s="10" t="e">
        <f>MATCH(U103,Interventions!C:C,1)</f>
        <v>#N/A</v>
      </c>
    </row>
    <row r="104" spans="1:23" ht="39.9" customHeight="1" x14ac:dyDescent="0.35">
      <c r="A104" s="30"/>
      <c r="B104" s="71"/>
      <c r="C104" s="71"/>
      <c r="D104" s="103"/>
      <c r="E104" s="104" t="str">
        <f>IF(IF(Modules!$D$4="EUR",D104*($T$112),$D104)=0,"",IF(Modules!$D$4="EUR",D104*($T$112),$D104))</f>
        <v/>
      </c>
      <c r="F104" s="31"/>
      <c r="G104" s="31"/>
      <c r="H104" s="30"/>
      <c r="I104" s="102"/>
      <c r="J104" s="30"/>
      <c r="K104" s="73" t="str">
        <f>IFERROR(VLOOKUP(B104,Modules!C:D,2,0),"")</f>
        <v/>
      </c>
      <c r="L104" s="69" t="str">
        <f>IFERROR(VLOOKUP($C104,Interventions!E:F,2,0),IFERROR(VLOOKUP($C104,Interventions!I:L,4,0),IFERROR(VLOOKUP($C104,Interventions!J:L,3,0),"")))</f>
        <v/>
      </c>
      <c r="M104" s="102" t="str">
        <f>IF(IF(Modules!$D$4="EUR",I104/($T$112),$I104)=0,"",IF(Modules!$D$4="EUR",I104/($T$112),$I104))</f>
        <v/>
      </c>
      <c r="N104" s="30" t="str">
        <f>CLEAN(IFERROR(VLOOKUP($C104,Interventions!$E$1:$K$407,7,0),""))</f>
        <v/>
      </c>
      <c r="O104" s="30" t="str">
        <f>CLEAN(IF(C104="","",CONCATENATE(Modules!$B$8,"/",'PAAR UPDATE'!N104,R104)))</f>
        <v/>
      </c>
      <c r="P104" s="10">
        <f>IFERROR(INDEX('Dropdown Data'!$D$33:$D$35,MATCH(A104,'Dropdown Data'!$B$33:$B$35,0)),IFERROR(INDEX('Dropdown Data'!$D$33:$D$35,MATCH(A104,'Dropdown Data'!$C$33:$C$35,0)),A104))</f>
        <v>0</v>
      </c>
      <c r="Q104" s="10">
        <f>IFERROR(INDEX('Dropdown Data'!$D$33:$D$36,MATCH(H104,'Dropdown Data'!$B$33:$B$36,0)),IFERROR(INDEX('Dropdown Data'!$D$33:$D$36,MATCH(H104,'Dropdown Data'!$C$33:$C$36,0)),H104))</f>
        <v>0</v>
      </c>
      <c r="R104" s="10">
        <v>75</v>
      </c>
      <c r="S104" s="10" t="b">
        <f t="shared" si="4"/>
        <v>1</v>
      </c>
      <c r="T104" s="10">
        <f t="shared" si="5"/>
        <v>10</v>
      </c>
      <c r="U104" s="10" t="e">
        <f>IFERROR(VLOOKUP(B104,Modules!$E$11:$K$25,6,0),IFERROR(VLOOKUP(B104,Modules!$F$11:$K$25,5,0),VLOOKUP(B104,Modules!$G$11:$K$25,4,0)))</f>
        <v>#N/A</v>
      </c>
      <c r="V104" s="10" t="e">
        <f>MATCH(U104,Interventions!C:C,0)</f>
        <v>#N/A</v>
      </c>
      <c r="W104" s="10" t="e">
        <f>MATCH(U104,Interventions!C:C,1)</f>
        <v>#N/A</v>
      </c>
    </row>
    <row r="105" spans="1:23" ht="39.9" customHeight="1" x14ac:dyDescent="0.35">
      <c r="A105" s="30"/>
      <c r="B105" s="71"/>
      <c r="C105" s="71"/>
      <c r="D105" s="103"/>
      <c r="E105" s="104" t="str">
        <f>IF(IF(Modules!$D$4="EUR",D105*($T$112),$D105)=0,"",IF(Modules!$D$4="EUR",D105*($T$112),$D105))</f>
        <v/>
      </c>
      <c r="F105" s="31"/>
      <c r="G105" s="31"/>
      <c r="H105" s="30"/>
      <c r="I105" s="102"/>
      <c r="J105" s="30"/>
      <c r="K105" s="73" t="str">
        <f>IFERROR(VLOOKUP(B105,Modules!C:D,2,0),"")</f>
        <v/>
      </c>
      <c r="L105" s="69" t="str">
        <f>IFERROR(VLOOKUP($C105,Interventions!E:F,2,0),IFERROR(VLOOKUP($C105,Interventions!I:L,4,0),IFERROR(VLOOKUP($C105,Interventions!J:L,3,0),"")))</f>
        <v/>
      </c>
      <c r="M105" s="102" t="str">
        <f>IF(IF(Modules!$D$4="EUR",I105/($T$112),$I105)=0,"",IF(Modules!$D$4="EUR",I105/($T$112),$I105))</f>
        <v/>
      </c>
      <c r="N105" s="30" t="str">
        <f>CLEAN(IFERROR(VLOOKUP($C105,Interventions!$E$1:$K$407,7,0),""))</f>
        <v/>
      </c>
      <c r="O105" s="30" t="str">
        <f>CLEAN(IF(C105="","",CONCATENATE(Modules!$B$8,"/",'PAAR UPDATE'!N105,R105)))</f>
        <v/>
      </c>
      <c r="P105" s="10">
        <f>IFERROR(INDEX('Dropdown Data'!$D$33:$D$35,MATCH(A105,'Dropdown Data'!$B$33:$B$35,0)),IFERROR(INDEX('Dropdown Data'!$D$33:$D$35,MATCH(A105,'Dropdown Data'!$C$33:$C$35,0)),A105))</f>
        <v>0</v>
      </c>
      <c r="Q105" s="10">
        <f>IFERROR(INDEX('Dropdown Data'!$D$33:$D$36,MATCH(H105,'Dropdown Data'!$B$33:$B$36,0)),IFERROR(INDEX('Dropdown Data'!$D$33:$D$36,MATCH(H105,'Dropdown Data'!$C$33:$C$36,0)),H105))</f>
        <v>0</v>
      </c>
      <c r="R105" s="10">
        <v>76</v>
      </c>
      <c r="S105" s="10" t="b">
        <f t="shared" si="4"/>
        <v>1</v>
      </c>
      <c r="T105" s="10">
        <f t="shared" si="5"/>
        <v>10</v>
      </c>
      <c r="U105" s="10" t="e">
        <f>IFERROR(VLOOKUP(B105,Modules!$E$11:$K$25,6,0),IFERROR(VLOOKUP(B105,Modules!$F$11:$K$25,5,0),VLOOKUP(B105,Modules!$G$11:$K$25,4,0)))</f>
        <v>#N/A</v>
      </c>
      <c r="V105" s="10" t="e">
        <f>MATCH(U105,Interventions!C:C,0)</f>
        <v>#N/A</v>
      </c>
      <c r="W105" s="10" t="e">
        <f>MATCH(U105,Interventions!C:C,1)</f>
        <v>#N/A</v>
      </c>
    </row>
    <row r="106" spans="1:23" ht="39.9" customHeight="1" x14ac:dyDescent="0.35">
      <c r="A106" s="30"/>
      <c r="B106" s="71"/>
      <c r="C106" s="71"/>
      <c r="D106" s="103"/>
      <c r="E106" s="104" t="str">
        <f>IF(IF(Modules!$D$4="EUR",D106*($T$112),$D106)=0,"",IF(Modules!$D$4="EUR",D106*($T$112),$D106))</f>
        <v/>
      </c>
      <c r="F106" s="31"/>
      <c r="G106" s="31"/>
      <c r="H106" s="30"/>
      <c r="I106" s="102"/>
      <c r="J106" s="30"/>
      <c r="K106" s="73" t="str">
        <f>IFERROR(VLOOKUP(B106,Modules!C:D,2,0),"")</f>
        <v/>
      </c>
      <c r="L106" s="69" t="str">
        <f>IFERROR(VLOOKUP($C106,Interventions!E:F,2,0),IFERROR(VLOOKUP($C106,Interventions!I:L,4,0),IFERROR(VLOOKUP($C106,Interventions!J:L,3,0),"")))</f>
        <v/>
      </c>
      <c r="M106" s="102" t="str">
        <f>IF(IF(Modules!$D$4="EUR",I106/($T$112),$I106)=0,"",IF(Modules!$D$4="EUR",I106/($T$112),$I106))</f>
        <v/>
      </c>
      <c r="N106" s="30" t="str">
        <f>CLEAN(IFERROR(VLOOKUP($C106,Interventions!$E$1:$K$407,7,0),""))</f>
        <v/>
      </c>
      <c r="O106" s="30" t="str">
        <f>CLEAN(IF(C106="","",CONCATENATE(Modules!$B$8,"/",'PAAR UPDATE'!N106,R106)))</f>
        <v/>
      </c>
      <c r="P106" s="10">
        <f>IFERROR(INDEX('Dropdown Data'!$D$33:$D$35,MATCH(A106,'Dropdown Data'!$B$33:$B$35,0)),IFERROR(INDEX('Dropdown Data'!$D$33:$D$35,MATCH(A106,'Dropdown Data'!$C$33:$C$35,0)),A106))</f>
        <v>0</v>
      </c>
      <c r="Q106" s="10">
        <f>IFERROR(INDEX('Dropdown Data'!$D$33:$D$36,MATCH(H106,'Dropdown Data'!$B$33:$B$36,0)),IFERROR(INDEX('Dropdown Data'!$D$33:$D$36,MATCH(H106,'Dropdown Data'!$C$33:$C$36,0)),H106))</f>
        <v>0</v>
      </c>
      <c r="R106" s="10">
        <v>77</v>
      </c>
      <c r="S106" s="10" t="b">
        <f t="shared" si="4"/>
        <v>1</v>
      </c>
      <c r="T106" s="10">
        <f t="shared" si="5"/>
        <v>10</v>
      </c>
      <c r="U106" s="10" t="e">
        <f>IFERROR(VLOOKUP(B106,Modules!$E$11:$K$25,6,0),IFERROR(VLOOKUP(B106,Modules!$F$11:$K$25,5,0),VLOOKUP(B106,Modules!$G$11:$K$25,4,0)))</f>
        <v>#N/A</v>
      </c>
      <c r="V106" s="10" t="e">
        <f>MATCH(U106,Interventions!C:C,0)</f>
        <v>#N/A</v>
      </c>
      <c r="W106" s="10" t="e">
        <f>MATCH(U106,Interventions!C:C,1)</f>
        <v>#N/A</v>
      </c>
    </row>
    <row r="107" spans="1:23" ht="39.9" customHeight="1" x14ac:dyDescent="0.35">
      <c r="A107" s="30"/>
      <c r="B107" s="71"/>
      <c r="C107" s="71"/>
      <c r="D107" s="103"/>
      <c r="E107" s="104" t="str">
        <f>IF(IF(Modules!$D$4="EUR",D107*($T$112),$D107)=0,"",IF(Modules!$D$4="EUR",D107*($T$112),$D107))</f>
        <v/>
      </c>
      <c r="F107" s="31"/>
      <c r="G107" s="31"/>
      <c r="H107" s="30"/>
      <c r="I107" s="102"/>
      <c r="J107" s="30"/>
      <c r="K107" s="73" t="str">
        <f>IFERROR(VLOOKUP(B107,Modules!C:D,2,0),"")</f>
        <v/>
      </c>
      <c r="L107" s="69" t="str">
        <f>IFERROR(VLOOKUP($C107,Interventions!E:F,2,0),IFERROR(VLOOKUP($C107,Interventions!I:L,4,0),IFERROR(VLOOKUP($C107,Interventions!J:L,3,0),"")))</f>
        <v/>
      </c>
      <c r="M107" s="102" t="str">
        <f>IF(IF(Modules!$D$4="EUR",I107/($T$112),$I107)=0,"",IF(Modules!$D$4="EUR",I107/($T$112),$I107))</f>
        <v/>
      </c>
      <c r="N107" s="30" t="str">
        <f>CLEAN(IFERROR(VLOOKUP($C107,Interventions!$E$1:$K$407,7,0),""))</f>
        <v/>
      </c>
      <c r="O107" s="30" t="str">
        <f>CLEAN(IF(C107="","",CONCATENATE(Modules!$B$8,"/",'PAAR UPDATE'!N107,R107)))</f>
        <v/>
      </c>
      <c r="P107" s="10">
        <f>IFERROR(INDEX('Dropdown Data'!$D$33:$D$35,MATCH(A107,'Dropdown Data'!$B$33:$B$35,0)),IFERROR(INDEX('Dropdown Data'!$D$33:$D$35,MATCH(A107,'Dropdown Data'!$C$33:$C$35,0)),A107))</f>
        <v>0</v>
      </c>
      <c r="Q107" s="10">
        <f>IFERROR(INDEX('Dropdown Data'!$D$33:$D$36,MATCH(H107,'Dropdown Data'!$B$33:$B$36,0)),IFERROR(INDEX('Dropdown Data'!$D$33:$D$36,MATCH(H107,'Dropdown Data'!$C$33:$C$36,0)),H107))</f>
        <v>0</v>
      </c>
      <c r="R107" s="10">
        <v>78</v>
      </c>
      <c r="S107" s="10" t="b">
        <f t="shared" si="4"/>
        <v>1</v>
      </c>
      <c r="T107" s="10">
        <f t="shared" si="5"/>
        <v>10</v>
      </c>
      <c r="U107" s="10" t="e">
        <f>IFERROR(VLOOKUP(B107,Modules!$E$11:$K$25,6,0),IFERROR(VLOOKUP(B107,Modules!$F$11:$K$25,5,0),VLOOKUP(B107,Modules!$G$11:$K$25,4,0)))</f>
        <v>#N/A</v>
      </c>
      <c r="V107" s="10" t="e">
        <f>MATCH(U107,Interventions!C:C,0)</f>
        <v>#N/A</v>
      </c>
      <c r="W107" s="10" t="e">
        <f>MATCH(U107,Interventions!C:C,1)</f>
        <v>#N/A</v>
      </c>
    </row>
    <row r="108" spans="1:23" ht="39.9" customHeight="1" x14ac:dyDescent="0.35">
      <c r="A108" s="30"/>
      <c r="B108" s="71"/>
      <c r="C108" s="71"/>
      <c r="D108" s="103"/>
      <c r="E108" s="104" t="str">
        <f>IF(IF(Modules!$D$4="EUR",D108*($T$112),$D108)=0,"",IF(Modules!$D$4="EUR",D108*($T$112),$D108))</f>
        <v/>
      </c>
      <c r="F108" s="31"/>
      <c r="G108" s="31"/>
      <c r="H108" s="30"/>
      <c r="I108" s="102"/>
      <c r="J108" s="30"/>
      <c r="K108" s="73" t="str">
        <f>IFERROR(VLOOKUP(B108,Modules!C:D,2,0),"")</f>
        <v/>
      </c>
      <c r="L108" s="69" t="str">
        <f>IFERROR(VLOOKUP($C108,Interventions!E:F,2,0),IFERROR(VLOOKUP($C108,Interventions!I:L,4,0),IFERROR(VLOOKUP($C108,Interventions!J:L,3,0),"")))</f>
        <v/>
      </c>
      <c r="M108" s="102" t="str">
        <f>IF(IF(Modules!$D$4="EUR",I108/($T$112),$I108)=0,"",IF(Modules!$D$4="EUR",I108/($T$112),$I108))</f>
        <v/>
      </c>
      <c r="N108" s="30" t="str">
        <f>CLEAN(IFERROR(VLOOKUP($C108,Interventions!$E$1:$K$407,7,0),""))</f>
        <v/>
      </c>
      <c r="O108" s="30" t="str">
        <f>CLEAN(IF(C108="","",CONCATENATE(Modules!$B$8,"/",'PAAR UPDATE'!N108,R108)))</f>
        <v/>
      </c>
      <c r="P108" s="10">
        <f>IFERROR(INDEX('Dropdown Data'!$D$33:$D$35,MATCH(A108,'Dropdown Data'!$B$33:$B$35,0)),IFERROR(INDEX('Dropdown Data'!$D$33:$D$35,MATCH(A108,'Dropdown Data'!$C$33:$C$35,0)),A108))</f>
        <v>0</v>
      </c>
      <c r="Q108" s="10">
        <f>IFERROR(INDEX('Dropdown Data'!$D$33:$D$36,MATCH(H108,'Dropdown Data'!$B$33:$B$36,0)),IFERROR(INDEX('Dropdown Data'!$D$33:$D$36,MATCH(H108,'Dropdown Data'!$C$33:$C$36,0)),H108))</f>
        <v>0</v>
      </c>
      <c r="R108" s="10">
        <v>79</v>
      </c>
      <c r="S108" s="10" t="b">
        <f t="shared" si="4"/>
        <v>1</v>
      </c>
      <c r="T108" s="10">
        <f t="shared" si="5"/>
        <v>10</v>
      </c>
      <c r="U108" s="10" t="e">
        <f>IFERROR(VLOOKUP(B108,Modules!$E$11:$K$25,6,0),IFERROR(VLOOKUP(B108,Modules!$F$11:$K$25,5,0),VLOOKUP(B108,Modules!$G$11:$K$25,4,0)))</f>
        <v>#N/A</v>
      </c>
      <c r="V108" s="10" t="e">
        <f>MATCH(U108,Interventions!C:C,0)</f>
        <v>#N/A</v>
      </c>
      <c r="W108" s="10" t="e">
        <f>MATCH(U108,Interventions!C:C,1)</f>
        <v>#N/A</v>
      </c>
    </row>
    <row r="109" spans="1:23" ht="39.9" customHeight="1" x14ac:dyDescent="0.35">
      <c r="A109" s="30"/>
      <c r="B109" s="71"/>
      <c r="C109" s="71"/>
      <c r="D109" s="103"/>
      <c r="E109" s="104" t="str">
        <f>IF(IF(Modules!$D$4="EUR",D109*($T$112),$D109)=0,"",IF(Modules!$D$4="EUR",D109*($T$112),$D109))</f>
        <v/>
      </c>
      <c r="F109" s="31"/>
      <c r="G109" s="31"/>
      <c r="H109" s="30"/>
      <c r="I109" s="102"/>
      <c r="J109" s="30"/>
      <c r="K109" s="73" t="str">
        <f>IFERROR(VLOOKUP(B109,Modules!C:D,2,0),"")</f>
        <v/>
      </c>
      <c r="L109" s="69" t="str">
        <f>IFERROR(VLOOKUP($C109,Interventions!E:F,2,0),IFERROR(VLOOKUP($C109,Interventions!I:L,4,0),IFERROR(VLOOKUP($C109,Interventions!J:L,3,0),"")))</f>
        <v/>
      </c>
      <c r="M109" s="102" t="str">
        <f>IF(IF(Modules!$D$4="EUR",I109/($T$112),$I109)=0,"",IF(Modules!$D$4="EUR",I109/($T$112),$I109))</f>
        <v/>
      </c>
      <c r="N109" s="30" t="str">
        <f>CLEAN(IFERROR(VLOOKUP($C109,Interventions!$E$1:$K$407,7,0),""))</f>
        <v/>
      </c>
      <c r="O109" s="30" t="str">
        <f>CLEAN(IF(C109="","",CONCATENATE(Modules!$B$8,"/",'PAAR UPDATE'!N109,R109)))</f>
        <v/>
      </c>
      <c r="P109" s="10">
        <f>IFERROR(INDEX('Dropdown Data'!$D$33:$D$35,MATCH(A109,'Dropdown Data'!$B$33:$B$35,0)),IFERROR(INDEX('Dropdown Data'!$D$33:$D$35,MATCH(A109,'Dropdown Data'!$C$33:$C$35,0)),A109))</f>
        <v>0</v>
      </c>
      <c r="Q109" s="10">
        <f>IFERROR(INDEX('Dropdown Data'!$D$33:$D$36,MATCH(H109,'Dropdown Data'!$B$33:$B$36,0)),IFERROR(INDEX('Dropdown Data'!$D$33:$D$36,MATCH(H109,'Dropdown Data'!$C$33:$C$36,0)),H109))</f>
        <v>0</v>
      </c>
      <c r="R109" s="10">
        <v>80</v>
      </c>
      <c r="S109" s="10" t="b">
        <f t="shared" si="4"/>
        <v>1</v>
      </c>
      <c r="T109" s="10">
        <f t="shared" si="5"/>
        <v>10</v>
      </c>
      <c r="U109" s="10" t="e">
        <f>IFERROR(VLOOKUP(B109,Modules!$E$11:$K$25,6,0),IFERROR(VLOOKUP(B109,Modules!$F$11:$K$25,5,0),VLOOKUP(B109,Modules!$G$11:$K$25,4,0)))</f>
        <v>#N/A</v>
      </c>
      <c r="V109" s="10" t="e">
        <f>MATCH(U109,Interventions!C:C,0)</f>
        <v>#N/A</v>
      </c>
      <c r="W109" s="10" t="e">
        <f>MATCH(U109,Interventions!C:C,1)</f>
        <v>#N/A</v>
      </c>
    </row>
    <row r="110" spans="1:23" ht="40.4" customHeight="1" x14ac:dyDescent="0.35">
      <c r="A110" s="30"/>
      <c r="B110" s="71"/>
      <c r="C110" s="71"/>
      <c r="D110" s="103"/>
      <c r="E110" s="104" t="str">
        <f>IF(IF(Modules!$D$4="EUR",D110*($T$112),$D110)=0,"",IF(Modules!$D$4="EUR",D110*($T$112),$D110))</f>
        <v/>
      </c>
      <c r="F110" s="31"/>
      <c r="G110" s="31"/>
      <c r="H110" s="30"/>
      <c r="I110" s="102"/>
      <c r="J110" s="30"/>
      <c r="K110" s="73" t="str">
        <f>IFERROR(VLOOKUP(B110,Modules!C:D,2,0),"")</f>
        <v/>
      </c>
      <c r="L110" s="69" t="str">
        <f>IFERROR(VLOOKUP($C110,Interventions!E:F,2,0),IFERROR(VLOOKUP($C110,Interventions!I:L,4,0),IFERROR(VLOOKUP($C110,Interventions!J:L,3,0),"")))</f>
        <v/>
      </c>
      <c r="M110" s="102" t="str">
        <f>IF(IF(Modules!$D$4="EUR",I110/($T$112),$I110)=0,"",IF(Modules!$D$4="EUR",I110/($T$112),$I110))</f>
        <v/>
      </c>
      <c r="N110" s="30" t="str">
        <f>CLEAN(IFERROR(VLOOKUP($C110,Interventions!$E$1:$K$407,7,0),""))</f>
        <v/>
      </c>
      <c r="O110" s="30" t="str">
        <f>CLEAN(IF(C110="","",CONCATENATE(Modules!$B$8,"/",'PAAR UPDATE'!N110,R110)))</f>
        <v/>
      </c>
      <c r="P110" s="10">
        <f>IFERROR(INDEX('Dropdown Data'!$D$33:$D$35,MATCH(A110,'Dropdown Data'!$B$33:$B$35,0)),IFERROR(INDEX('Dropdown Data'!$D$33:$D$35,MATCH(A110,'Dropdown Data'!$C$33:$C$35,0)),A110))</f>
        <v>0</v>
      </c>
      <c r="Q110" s="10">
        <f>IFERROR(INDEX('Dropdown Data'!$D$33:$D$36,MATCH(H110,'Dropdown Data'!$B$33:$B$36,0)),IFERROR(INDEX('Dropdown Data'!$D$33:$D$36,MATCH(H110,'Dropdown Data'!$C$33:$C$36,0)),H110))</f>
        <v>0</v>
      </c>
      <c r="R110" s="10">
        <v>81</v>
      </c>
      <c r="S110" s="10" t="b">
        <f t="shared" si="4"/>
        <v>1</v>
      </c>
      <c r="T110" s="10">
        <f t="shared" si="5"/>
        <v>10</v>
      </c>
      <c r="U110" s="10" t="e">
        <f>IFERROR(VLOOKUP(B110,Modules!$E$11:$K$25,6,0),IFERROR(VLOOKUP(B110,Modules!$F$11:$K$25,5,0),VLOOKUP(B110,Modules!$G$11:$K$25,4,0)))</f>
        <v>#N/A</v>
      </c>
      <c r="V110" s="10" t="e">
        <f>MATCH(U110,Interventions!C:C,0)</f>
        <v>#N/A</v>
      </c>
      <c r="W110" s="10" t="e">
        <f>MATCH(U110,Interventions!C:C,1)</f>
        <v>#N/A</v>
      </c>
    </row>
    <row r="111" spans="1:23" ht="16.649999999999999" hidden="1" customHeight="1" x14ac:dyDescent="0.35">
      <c r="A111" s="20" t="str">
        <f>IFERROR(VLOOKUP($B$10,Translation[],25,0),"")</f>
        <v>TOTAL AMOUNT</v>
      </c>
      <c r="B111" s="20"/>
      <c r="C111" s="20"/>
      <c r="D111" s="21">
        <f>SUM($D30:$D110)</f>
        <v>1374194</v>
      </c>
      <c r="E111" s="21">
        <f>SUM($E30:$E110)</f>
        <v>1374194</v>
      </c>
      <c r="F111" s="22"/>
      <c r="G111" s="42"/>
      <c r="H111" s="42"/>
      <c r="I111" s="21">
        <f>SUM($I30:$I110)</f>
        <v>0</v>
      </c>
      <c r="J111" s="42"/>
      <c r="K111" s="20"/>
      <c r="L111" s="20"/>
      <c r="M111" s="21">
        <f>SUM($M30:$M110)</f>
        <v>0</v>
      </c>
      <c r="N111" s="42"/>
      <c r="O111" s="30" t="str">
        <f>CLEAN(IF(C111="","",CONCATENATE(Modules!$B$8,"/",'PAAR UPDATE'!N111,R111)))</f>
        <v/>
      </c>
      <c r="V111" s="10" t="e">
        <f>MATCH(T111,Interventions!C:C,0)</f>
        <v>#N/A</v>
      </c>
    </row>
    <row r="112" spans="1:23" x14ac:dyDescent="0.35">
      <c r="S112" s="10" t="s">
        <v>860</v>
      </c>
      <c r="T112" s="117">
        <v>1.1222085063404801</v>
      </c>
    </row>
    <row r="113" spans="19:20" x14ac:dyDescent="0.35">
      <c r="S113" s="10" t="s">
        <v>787</v>
      </c>
      <c r="T113" s="117">
        <v>0.8911</v>
      </c>
    </row>
  </sheetData>
  <sheetProtection password="FB8C" sheet="1" objects="1" scenarios="1" formatCells="0" formatRows="0" selectLockedCells="1"/>
  <protectedRanges>
    <protectedRange sqref="F30:J110 M30:M110" name="Range2"/>
    <protectedRange sqref="K30:L110 A30:D110" name="Range1"/>
  </protectedRanges>
  <mergeCells count="14">
    <mergeCell ref="A23:J23"/>
    <mergeCell ref="A27:J27"/>
    <mergeCell ref="A28:J28"/>
    <mergeCell ref="A5:H5"/>
    <mergeCell ref="A4:H4"/>
    <mergeCell ref="A7:B7"/>
    <mergeCell ref="A6:B6"/>
    <mergeCell ref="A8:B8"/>
    <mergeCell ref="A12:C12"/>
    <mergeCell ref="B13:C13"/>
    <mergeCell ref="B14:C14"/>
    <mergeCell ref="B15:C15"/>
    <mergeCell ref="A21:J21"/>
    <mergeCell ref="A22:J22"/>
  </mergeCells>
  <conditionalFormatting sqref="H29:H110">
    <cfRule type="expression" dxfId="56" priority="5">
      <formula>AND($S29=TRUE,$T29&lt;&gt;13)</formula>
    </cfRule>
  </conditionalFormatting>
  <conditionalFormatting sqref="I29:I110">
    <cfRule type="expression" dxfId="55" priority="1">
      <formula>AND($S29=TRUE,$T29&lt;&gt;13)</formula>
    </cfRule>
  </conditionalFormatting>
  <dataValidations xWindow="798" yWindow="801" count="7">
    <dataValidation operator="greaterThanOrEqual" allowBlank="1" showInputMessage="1" showErrorMessage="1" error="Please input numbers only" sqref="F31:G111 H111 J111 M111:N111"/>
    <dataValidation type="list" allowBlank="1" showInputMessage="1" showErrorMessage="1" sqref="B30:B110">
      <formula1>ModuleNameList</formula1>
    </dataValidation>
    <dataValidation type="decimal" operator="greaterThan" allowBlank="1" showInputMessage="1" showErrorMessage="1" sqref="I29">
      <formula1>0</formula1>
    </dataValidation>
    <dataValidation type="list" allowBlank="1" showInputMessage="1" showErrorMessage="1" sqref="C30:C110">
      <formula1>InterventionsDependentList</formula1>
    </dataValidation>
    <dataValidation type="decimal" operator="greaterThanOrEqual" allowBlank="1" showInputMessage="1" showErrorMessage="1" errorTitle="Error" error="Enter numbers upto 2 decimal places only" sqref="I30:I110 D30:D110">
      <formula1>0</formula1>
    </dataValidation>
    <dataValidation type="decimal" allowBlank="1" showInputMessage="1" showErrorMessage="1" errorTitle="X-Author for Excel" error="Please enter a valid numeric value. Valid range for EUR &gt; USD is -10 to 10." promptTitle="X-Author for Excel" sqref="T112">
      <formula1>-10</formula1>
      <formula2>10</formula2>
    </dataValidation>
    <dataValidation type="decimal" allowBlank="1" showInputMessage="1" showErrorMessage="1" errorTitle="X-Author for Excel" error="Please enter a valid numeric value. Valid range for USD &gt; EUR is -10 to 10." promptTitle="X-Author for Excel" sqref="T113">
      <formula1>-10</formula1>
      <formula2>10</formula2>
    </dataValidation>
  </dataValidations>
  <pageMargins left="0.25" right="0.25" top="0.75" bottom="0.75" header="0.3" footer="0.3"/>
  <pageSetup paperSize="8" scale="66" fitToHeight="0" orientation="landscape" r:id="rId1"/>
  <drawing r:id="rId2"/>
  <extLst>
    <ext xmlns:x14="http://schemas.microsoft.com/office/spreadsheetml/2009/9/main" uri="{CCE6A557-97BC-4b89-ADB6-D9C93CAAB3DF}">
      <x14:dataValidations xmlns:xm="http://schemas.microsoft.com/office/excel/2006/main" xWindow="798" yWindow="801" count="3">
        <x14:dataValidation type="list" allowBlank="1" showInputMessage="1" showErrorMessage="1">
          <x14:formula1>
            <xm:f>'Dropdown Data'!$A$2:$A$4</xm:f>
          </x14:formula1>
          <xm:sqref>B10</xm:sqref>
        </x14:dataValidation>
        <x14:dataValidation type="list" allowBlank="1" showInputMessage="1" showErrorMessage="1">
          <x14:formula1>
            <xm:f>OFFSET('Dropdown Data'!$G$6,MATCH($B$10,'Dropdown Data'!$F$7:$F$15,0),0,COUNTIFS('Dropdown Data'!$F$7:$F$15,$B$10),1)</xm:f>
          </x14:formula1>
          <xm:sqref>A30:A110</xm:sqref>
        </x14:dataValidation>
        <x14:dataValidation type="list" operator="greaterThan" allowBlank="1" showInputMessage="1" showErrorMessage="1">
          <x14:formula1>
            <xm:f>OFFSET('Dropdown Data'!$I$6,MATCH($B$10,'Dropdown Data'!$H$7:$H$18,0),0,COUNTIFS('Dropdown Data'!$H$7:$H$18,$B$10),1)</xm:f>
          </x14:formula1>
          <xm:sqref>H30:H110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4"/>
  <sheetViews>
    <sheetView workbookViewId="0">
      <selection activeCell="O1" sqref="O1"/>
    </sheetView>
  </sheetViews>
  <sheetFormatPr defaultRowHeight="14.5" x14ac:dyDescent="0.35"/>
  <cols>
    <col min="3" max="3" width="14.90625" customWidth="1"/>
  </cols>
  <sheetData>
    <row r="1" spans="1:16" x14ac:dyDescent="0.35">
      <c r="A1" s="59" t="s">
        <v>766</v>
      </c>
      <c r="B1" s="59" t="s">
        <v>827</v>
      </c>
      <c r="C1" s="59" t="s">
        <v>840</v>
      </c>
      <c r="D1" s="59"/>
      <c r="E1" s="59" t="s">
        <v>843</v>
      </c>
      <c r="F1" s="59" t="s">
        <v>798</v>
      </c>
      <c r="G1" s="59" t="s">
        <v>771</v>
      </c>
      <c r="H1" s="59"/>
      <c r="I1" s="59" t="s">
        <v>850</v>
      </c>
      <c r="J1" s="59" t="s">
        <v>844</v>
      </c>
      <c r="K1" s="59" t="s">
        <v>766</v>
      </c>
      <c r="L1" s="59" t="s">
        <v>860</v>
      </c>
      <c r="M1" s="59" t="s">
        <v>787</v>
      </c>
      <c r="O1" t="str">
        <f>IFERROR(VLOOKUP("a6*",K:K,1,0),"")</f>
        <v>a6R1R0000005W0QUAU</v>
      </c>
      <c r="P1">
        <f>SUM(M2:M5)</f>
        <v>1.79775</v>
      </c>
    </row>
    <row r="2" spans="1:16" hidden="1" x14ac:dyDescent="0.35">
      <c r="A2" s="59" t="s">
        <v>775</v>
      </c>
      <c r="B2" s="58" t="s">
        <v>845</v>
      </c>
      <c r="C2" s="121" t="s">
        <v>846</v>
      </c>
      <c r="D2" s="59"/>
      <c r="E2" s="59" t="s">
        <v>842</v>
      </c>
      <c r="F2" s="58" t="s">
        <v>847</v>
      </c>
      <c r="G2" s="59" t="s">
        <v>848</v>
      </c>
      <c r="H2" s="59"/>
      <c r="I2" s="59" t="s">
        <v>849</v>
      </c>
      <c r="J2" s="58" t="s">
        <v>841</v>
      </c>
      <c r="K2" s="59" t="s">
        <v>775</v>
      </c>
      <c r="L2" s="122" t="s">
        <v>859</v>
      </c>
      <c r="M2" s="122" t="s">
        <v>851</v>
      </c>
    </row>
    <row r="3" spans="1:16" x14ac:dyDescent="0.35">
      <c r="A3" s="59" t="s">
        <v>1389</v>
      </c>
      <c r="B3" s="58"/>
      <c r="C3" s="121">
        <v>43831</v>
      </c>
      <c r="D3" s="59"/>
      <c r="E3" s="59" t="s">
        <v>1390</v>
      </c>
      <c r="F3" s="58" t="s">
        <v>1391</v>
      </c>
      <c r="G3" s="59"/>
      <c r="H3" s="59"/>
      <c r="I3" s="59" t="s">
        <v>1132</v>
      </c>
      <c r="J3" s="58" t="s">
        <v>1132</v>
      </c>
      <c r="K3" s="59" t="s">
        <v>1392</v>
      </c>
      <c r="L3" s="122">
        <v>1.1029614514972701</v>
      </c>
      <c r="M3" s="122">
        <v>0.90664999999999996</v>
      </c>
    </row>
    <row r="4" spans="1:16" x14ac:dyDescent="0.35">
      <c r="A4" s="59" t="s">
        <v>1134</v>
      </c>
      <c r="B4" s="58" t="s">
        <v>1121</v>
      </c>
      <c r="C4" s="121">
        <v>42736</v>
      </c>
      <c r="D4" s="59"/>
      <c r="E4" s="59" t="s">
        <v>1136</v>
      </c>
      <c r="F4" s="58" t="s">
        <v>1388</v>
      </c>
      <c r="G4" s="59"/>
      <c r="H4" s="59"/>
      <c r="I4" s="59" t="s">
        <v>1132</v>
      </c>
      <c r="J4" s="58" t="s">
        <v>1132</v>
      </c>
      <c r="K4" s="59" t="s">
        <v>1387</v>
      </c>
      <c r="L4" s="122">
        <v>1.1222085063404801</v>
      </c>
      <c r="M4" s="122">
        <v>0.8911</v>
      </c>
    </row>
  </sheetData>
  <dataValidations count="5">
    <dataValidation type="custom" allowBlank="1" showInputMessage="1" showErrorMessage="1" errorTitle="X-Author for Excel" error="Id and Lookup fields are not editable." promptTitle="X-Author for Excel" sqref="A2:A4 K2:K4">
      <formula1>""</formula1>
    </dataValidation>
    <dataValidation type="list" allowBlank="1" showInputMessage="1" showErrorMessage="1" errorTitle="X-Author for Excel" error="Please select a value from the drop-down." promptTitle="X-Author for Excel" sqref="B2:B4">
      <formula1>IF(IFERROR(ROWS(INDIRECT(SUBSTITUTE("AIM_Allocation_Cycle__c.AIM_Status__c"," ","_"))),-1) &lt; 0, XAuthorInvalidPicklistData,INDIRECT(SUBSTITUTE("AIM_Allocation_Cycle__c.AIM_Status__c"," ","_")))</formula1>
    </dataValidation>
    <dataValidation type="date" allowBlank="1" showInputMessage="1" showErrorMessage="1" errorTitle="X-Author for Excel" error="Please enter a valid date." promptTitle="X-Author for Excel" sqref="C2:C4">
      <formula1>1</formula1>
      <formula2>767376</formula2>
    </dataValidation>
    <dataValidation type="decimal" allowBlank="1" showInputMessage="1" showErrorMessage="1" errorTitle="X-Author for Excel" error="Please enter a valid numeric value. Valid range for EUR &gt; USD is -10 to 10." promptTitle="X-Author for Excel" sqref="L2:L4">
      <formula1>-10</formula1>
      <formula2>10</formula2>
    </dataValidation>
    <dataValidation type="decimal" allowBlank="1" showInputMessage="1" showErrorMessage="1" errorTitle="X-Author for Excel" error="Please enter a valid numeric value. Valid range for USD &gt; EUR is -10 to 10." promptTitle="X-Author for Excel" sqref="M2:M4">
      <formula1>-10</formula1>
      <formula2>10</formula2>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9"/>
  <sheetViews>
    <sheetView tabSelected="1" zoomScale="65" zoomScaleNormal="65" workbookViewId="0">
      <selection activeCell="S47" sqref="S47:AJ69"/>
    </sheetView>
  </sheetViews>
  <sheetFormatPr defaultColWidth="8.90625" defaultRowHeight="14.5" x14ac:dyDescent="0.35"/>
  <cols>
    <col min="1" max="1" width="19.453125" style="135" customWidth="1"/>
    <col min="2" max="2" width="45.453125" style="125" customWidth="1"/>
    <col min="3" max="3" width="20.453125" style="125" customWidth="1"/>
    <col min="4" max="4" width="17.36328125" style="135" customWidth="1"/>
    <col min="5" max="5" width="19.6328125" style="125" customWidth="1"/>
    <col min="6" max="6" width="18.6328125" style="125" bestFit="1" customWidth="1"/>
    <col min="7" max="7" width="17" style="125" hidden="1" customWidth="1"/>
    <col min="8" max="8" width="18.453125" style="125" hidden="1" customWidth="1"/>
    <col min="9" max="16" width="0" style="125" hidden="1" customWidth="1"/>
    <col min="17" max="17" width="18" style="125" customWidth="1"/>
    <col min="18" max="27" width="11.81640625" style="125" customWidth="1"/>
    <col min="28" max="30" width="8.90625" style="125"/>
    <col min="31" max="31" width="49.81640625" style="125" customWidth="1"/>
    <col min="32" max="16384" width="8.90625" style="125"/>
  </cols>
  <sheetData>
    <row r="1" spans="1:36" ht="26.4" customHeight="1" x14ac:dyDescent="0.35">
      <c r="A1" s="185" t="s">
        <v>1420</v>
      </c>
      <c r="B1" s="186"/>
      <c r="C1" s="186"/>
      <c r="D1" s="186"/>
      <c r="E1" s="186"/>
      <c r="F1" s="187"/>
    </row>
    <row r="2" spans="1:36" ht="13" customHeight="1" x14ac:dyDescent="0.35">
      <c r="A2" s="148" t="s">
        <v>1421</v>
      </c>
      <c r="B2" s="126" t="s">
        <v>1422</v>
      </c>
      <c r="C2" s="126" t="s">
        <v>1423</v>
      </c>
      <c r="D2" s="148" t="s">
        <v>1424</v>
      </c>
      <c r="E2" s="126" t="s">
        <v>1425</v>
      </c>
      <c r="F2" s="126" t="s">
        <v>1426</v>
      </c>
      <c r="G2" s="127" t="s">
        <v>1427</v>
      </c>
      <c r="H2" s="127"/>
      <c r="I2" s="127"/>
      <c r="J2" s="127"/>
      <c r="K2" s="127"/>
      <c r="L2" s="127"/>
      <c r="M2" s="127"/>
      <c r="Q2" s="126" t="s">
        <v>1428</v>
      </c>
      <c r="S2" s="191" t="s">
        <v>1473</v>
      </c>
      <c r="T2" s="191"/>
      <c r="U2" s="191"/>
      <c r="V2" s="191"/>
      <c r="W2" s="191"/>
      <c r="X2" s="191"/>
      <c r="Y2" s="191"/>
      <c r="Z2" s="191"/>
      <c r="AA2" s="191"/>
      <c r="AB2" s="191"/>
      <c r="AC2" s="191"/>
      <c r="AD2" s="191"/>
      <c r="AE2" s="191"/>
      <c r="AF2" s="191"/>
      <c r="AG2" s="191"/>
      <c r="AH2" s="191"/>
      <c r="AI2" s="191"/>
      <c r="AJ2" s="191"/>
    </row>
    <row r="3" spans="1:36" ht="13" customHeight="1" x14ac:dyDescent="0.35">
      <c r="A3" s="193" t="s">
        <v>1429</v>
      </c>
      <c r="B3" s="193"/>
      <c r="C3" s="193"/>
      <c r="D3" s="193"/>
      <c r="E3" s="128"/>
      <c r="F3" s="127"/>
      <c r="G3" s="127"/>
      <c r="H3" s="127"/>
      <c r="I3" s="127"/>
      <c r="J3" s="127"/>
      <c r="K3" s="127"/>
      <c r="L3" s="127"/>
      <c r="M3" s="127"/>
      <c r="Q3" s="128"/>
      <c r="S3" s="191"/>
      <c r="T3" s="191"/>
      <c r="U3" s="191"/>
      <c r="V3" s="191"/>
      <c r="W3" s="191"/>
      <c r="X3" s="191"/>
      <c r="Y3" s="191"/>
      <c r="Z3" s="191"/>
      <c r="AA3" s="191"/>
      <c r="AB3" s="191"/>
      <c r="AC3" s="191"/>
      <c r="AD3" s="191"/>
      <c r="AE3" s="191"/>
      <c r="AF3" s="191"/>
      <c r="AG3" s="191"/>
      <c r="AH3" s="191"/>
      <c r="AI3" s="191"/>
      <c r="AJ3" s="191"/>
    </row>
    <row r="4" spans="1:36" ht="13" customHeight="1" x14ac:dyDescent="0.35">
      <c r="A4" s="129">
        <v>1</v>
      </c>
      <c r="B4" s="138" t="s">
        <v>1430</v>
      </c>
      <c r="C4" s="131" t="s">
        <v>1431</v>
      </c>
      <c r="D4" s="129">
        <v>7</v>
      </c>
      <c r="E4" s="149">
        <v>5683776</v>
      </c>
      <c r="F4" s="149">
        <f>D4*E4</f>
        <v>39786432</v>
      </c>
      <c r="G4" s="149"/>
      <c r="H4" s="149">
        <f>D4*G4</f>
        <v>0</v>
      </c>
      <c r="I4" s="149"/>
      <c r="J4" s="149"/>
      <c r="K4" s="149"/>
      <c r="L4" s="149"/>
      <c r="M4" s="149"/>
      <c r="N4" s="150"/>
      <c r="O4" s="150"/>
      <c r="P4" s="150"/>
      <c r="Q4" s="149">
        <f>F4/375</f>
        <v>106097</v>
      </c>
      <c r="S4" s="191"/>
      <c r="T4" s="191"/>
      <c r="U4" s="191"/>
      <c r="V4" s="191"/>
      <c r="W4" s="191"/>
      <c r="X4" s="191"/>
      <c r="Y4" s="191"/>
      <c r="Z4" s="191"/>
      <c r="AA4" s="191"/>
      <c r="AB4" s="191"/>
      <c r="AC4" s="191"/>
      <c r="AD4" s="191"/>
      <c r="AE4" s="191"/>
      <c r="AF4" s="191"/>
      <c r="AG4" s="191"/>
      <c r="AH4" s="191"/>
      <c r="AI4" s="191"/>
      <c r="AJ4" s="191"/>
    </row>
    <row r="5" spans="1:36" ht="13" customHeight="1" x14ac:dyDescent="0.35">
      <c r="A5" s="129">
        <v>2</v>
      </c>
      <c r="B5" s="138" t="s">
        <v>1432</v>
      </c>
      <c r="C5" s="131" t="s">
        <v>1431</v>
      </c>
      <c r="D5" s="129">
        <v>4</v>
      </c>
      <c r="E5" s="149">
        <v>1770496</v>
      </c>
      <c r="F5" s="149">
        <f>D5*E5</f>
        <v>7081984</v>
      </c>
      <c r="G5" s="149"/>
      <c r="H5" s="149">
        <f>D5*G5</f>
        <v>0</v>
      </c>
      <c r="I5" s="149"/>
      <c r="J5" s="149"/>
      <c r="K5" s="149"/>
      <c r="L5" s="149"/>
      <c r="M5" s="149"/>
      <c r="N5" s="150"/>
      <c r="O5" s="150"/>
      <c r="P5" s="150"/>
      <c r="Q5" s="149">
        <f t="shared" ref="Q5:Q31" si="0">F5/375</f>
        <v>18885</v>
      </c>
      <c r="S5" s="191"/>
      <c r="T5" s="191"/>
      <c r="U5" s="191"/>
      <c r="V5" s="191"/>
      <c r="W5" s="191"/>
      <c r="X5" s="191"/>
      <c r="Y5" s="191"/>
      <c r="Z5" s="191"/>
      <c r="AA5" s="191"/>
      <c r="AB5" s="191"/>
      <c r="AC5" s="191"/>
      <c r="AD5" s="191"/>
      <c r="AE5" s="191"/>
      <c r="AF5" s="191"/>
      <c r="AG5" s="191"/>
      <c r="AH5" s="191"/>
      <c r="AI5" s="191"/>
      <c r="AJ5" s="191"/>
    </row>
    <row r="6" spans="1:36" ht="13" customHeight="1" x14ac:dyDescent="0.35">
      <c r="A6" s="129">
        <v>3</v>
      </c>
      <c r="B6" s="131" t="s">
        <v>1433</v>
      </c>
      <c r="C6" s="131" t="s">
        <v>1431</v>
      </c>
      <c r="D6" s="129">
        <v>4</v>
      </c>
      <c r="E6" s="149">
        <v>297494</v>
      </c>
      <c r="F6" s="149">
        <f>D6*E6</f>
        <v>1189976</v>
      </c>
      <c r="G6" s="149"/>
      <c r="H6" s="149">
        <f>D6*G6</f>
        <v>0</v>
      </c>
      <c r="I6" s="149"/>
      <c r="J6" s="149"/>
      <c r="K6" s="149"/>
      <c r="L6" s="149"/>
      <c r="M6" s="149"/>
      <c r="N6" s="150"/>
      <c r="O6" s="150"/>
      <c r="P6" s="150"/>
      <c r="Q6" s="149">
        <f t="shared" si="0"/>
        <v>3173</v>
      </c>
      <c r="S6" s="191"/>
      <c r="T6" s="191"/>
      <c r="U6" s="191"/>
      <c r="V6" s="191"/>
      <c r="W6" s="191"/>
      <c r="X6" s="191"/>
      <c r="Y6" s="191"/>
      <c r="Z6" s="191"/>
      <c r="AA6" s="191"/>
      <c r="AB6" s="191"/>
      <c r="AC6" s="191"/>
      <c r="AD6" s="191"/>
      <c r="AE6" s="191"/>
      <c r="AF6" s="191"/>
      <c r="AG6" s="191"/>
      <c r="AH6" s="191"/>
      <c r="AI6" s="191"/>
      <c r="AJ6" s="191"/>
    </row>
    <row r="7" spans="1:36" ht="13" customHeight="1" x14ac:dyDescent="0.35">
      <c r="A7" s="129">
        <v>4</v>
      </c>
      <c r="B7" s="138" t="s">
        <v>1434</v>
      </c>
      <c r="C7" s="131" t="s">
        <v>1431</v>
      </c>
      <c r="D7" s="129">
        <v>20</v>
      </c>
      <c r="E7" s="149">
        <v>2820709</v>
      </c>
      <c r="F7" s="149">
        <f>D7*E7</f>
        <v>56414180</v>
      </c>
      <c r="G7" s="149"/>
      <c r="H7" s="149">
        <f>D7*G7</f>
        <v>0</v>
      </c>
      <c r="I7" s="149"/>
      <c r="J7" s="149"/>
      <c r="K7" s="149"/>
      <c r="L7" s="149"/>
      <c r="M7" s="149"/>
      <c r="N7" s="150"/>
      <c r="O7" s="150"/>
      <c r="P7" s="150"/>
      <c r="Q7" s="149">
        <f t="shared" si="0"/>
        <v>150438</v>
      </c>
      <c r="S7" s="191"/>
      <c r="T7" s="191"/>
      <c r="U7" s="191"/>
      <c r="V7" s="191"/>
      <c r="W7" s="191"/>
      <c r="X7" s="191"/>
      <c r="Y7" s="191"/>
      <c r="Z7" s="191"/>
      <c r="AA7" s="191"/>
      <c r="AB7" s="191"/>
      <c r="AC7" s="191"/>
      <c r="AD7" s="191"/>
      <c r="AE7" s="191"/>
      <c r="AF7" s="191"/>
      <c r="AG7" s="191"/>
      <c r="AH7" s="191"/>
      <c r="AI7" s="191"/>
      <c r="AJ7" s="191"/>
    </row>
    <row r="8" spans="1:36" ht="13" customHeight="1" x14ac:dyDescent="0.35">
      <c r="A8" s="129"/>
      <c r="B8" s="139" t="s">
        <v>1435</v>
      </c>
      <c r="C8" s="131" t="s">
        <v>1431</v>
      </c>
      <c r="D8" s="129">
        <v>7</v>
      </c>
      <c r="E8" s="149">
        <v>380000</v>
      </c>
      <c r="F8" s="149">
        <f t="shared" ref="F8:F28" si="1">D8*E8</f>
        <v>2660000</v>
      </c>
      <c r="G8" s="149"/>
      <c r="H8" s="149"/>
      <c r="I8" s="149"/>
      <c r="J8" s="149"/>
      <c r="K8" s="149"/>
      <c r="L8" s="149"/>
      <c r="M8" s="149"/>
      <c r="N8" s="150"/>
      <c r="O8" s="150"/>
      <c r="P8" s="150"/>
      <c r="Q8" s="149">
        <f t="shared" si="0"/>
        <v>7093</v>
      </c>
      <c r="S8" s="191"/>
      <c r="T8" s="191"/>
      <c r="U8" s="191"/>
      <c r="V8" s="191"/>
      <c r="W8" s="191"/>
      <c r="X8" s="191"/>
      <c r="Y8" s="191"/>
      <c r="Z8" s="191"/>
      <c r="AA8" s="191"/>
      <c r="AB8" s="191"/>
      <c r="AC8" s="191"/>
      <c r="AD8" s="191"/>
      <c r="AE8" s="191"/>
      <c r="AF8" s="191"/>
      <c r="AG8" s="191"/>
      <c r="AH8" s="191"/>
      <c r="AI8" s="191"/>
      <c r="AJ8" s="191"/>
    </row>
    <row r="9" spans="1:36" ht="13" customHeight="1" x14ac:dyDescent="0.35">
      <c r="A9" s="129">
        <v>5</v>
      </c>
      <c r="B9" s="139" t="s">
        <v>1436</v>
      </c>
      <c r="C9" s="131" t="s">
        <v>1431</v>
      </c>
      <c r="D9" s="129">
        <v>6</v>
      </c>
      <c r="E9" s="149">
        <v>100000</v>
      </c>
      <c r="F9" s="149">
        <f t="shared" si="1"/>
        <v>600000</v>
      </c>
      <c r="G9" s="149"/>
      <c r="H9" s="149">
        <f t="shared" ref="H9:H21" si="2">D9*G9</f>
        <v>0</v>
      </c>
      <c r="I9" s="149"/>
      <c r="J9" s="149"/>
      <c r="K9" s="149"/>
      <c r="L9" s="149"/>
      <c r="M9" s="149"/>
      <c r="N9" s="150"/>
      <c r="O9" s="150"/>
      <c r="P9" s="150"/>
      <c r="Q9" s="149">
        <f t="shared" si="0"/>
        <v>1600</v>
      </c>
      <c r="S9" s="191"/>
      <c r="T9" s="191"/>
      <c r="U9" s="191"/>
      <c r="V9" s="191"/>
      <c r="W9" s="191"/>
      <c r="X9" s="191"/>
      <c r="Y9" s="191"/>
      <c r="Z9" s="191"/>
      <c r="AA9" s="191"/>
      <c r="AB9" s="191"/>
      <c r="AC9" s="191"/>
      <c r="AD9" s="191"/>
      <c r="AE9" s="191"/>
      <c r="AF9" s="191"/>
      <c r="AG9" s="191"/>
      <c r="AH9" s="191"/>
      <c r="AI9" s="191"/>
      <c r="AJ9" s="191"/>
    </row>
    <row r="10" spans="1:36" ht="13" customHeight="1" x14ac:dyDescent="0.35">
      <c r="A10" s="194" t="s">
        <v>1437</v>
      </c>
      <c r="B10" s="194"/>
      <c r="C10" s="194"/>
      <c r="D10" s="194"/>
      <c r="E10" s="149"/>
      <c r="F10" s="149">
        <f t="shared" si="1"/>
        <v>0</v>
      </c>
      <c r="G10" s="149"/>
      <c r="H10" s="149">
        <f t="shared" si="2"/>
        <v>0</v>
      </c>
      <c r="I10" s="149"/>
      <c r="J10" s="149"/>
      <c r="K10" s="149"/>
      <c r="L10" s="149"/>
      <c r="M10" s="149"/>
      <c r="N10" s="150"/>
      <c r="O10" s="150"/>
      <c r="P10" s="150"/>
      <c r="Q10" s="149">
        <f t="shared" si="0"/>
        <v>0</v>
      </c>
      <c r="S10" s="191"/>
      <c r="T10" s="191"/>
      <c r="U10" s="191"/>
      <c r="V10" s="191"/>
      <c r="W10" s="191"/>
      <c r="X10" s="191"/>
      <c r="Y10" s="191"/>
      <c r="Z10" s="191"/>
      <c r="AA10" s="191"/>
      <c r="AB10" s="191"/>
      <c r="AC10" s="191"/>
      <c r="AD10" s="191"/>
      <c r="AE10" s="191"/>
      <c r="AF10" s="191"/>
      <c r="AG10" s="191"/>
      <c r="AH10" s="191"/>
      <c r="AI10" s="191"/>
      <c r="AJ10" s="191"/>
    </row>
    <row r="11" spans="1:36" ht="13" customHeight="1" x14ac:dyDescent="0.35">
      <c r="A11" s="129">
        <v>7</v>
      </c>
      <c r="B11" s="138" t="s">
        <v>1449</v>
      </c>
      <c r="C11" s="131" t="s">
        <v>1439</v>
      </c>
      <c r="D11" s="129">
        <v>8</v>
      </c>
      <c r="E11" s="149">
        <v>64000</v>
      </c>
      <c r="F11" s="149">
        <f t="shared" si="1"/>
        <v>512000</v>
      </c>
      <c r="G11" s="149"/>
      <c r="H11" s="149">
        <f t="shared" si="2"/>
        <v>0</v>
      </c>
      <c r="I11" s="149"/>
      <c r="J11" s="149"/>
      <c r="K11" s="149"/>
      <c r="L11" s="149"/>
      <c r="M11" s="149"/>
      <c r="N11" s="150"/>
      <c r="O11" s="150"/>
      <c r="P11" s="150"/>
      <c r="Q11" s="149">
        <f t="shared" si="0"/>
        <v>1365</v>
      </c>
      <c r="S11" s="191"/>
      <c r="T11" s="191"/>
      <c r="U11" s="191"/>
      <c r="V11" s="191"/>
      <c r="W11" s="191"/>
      <c r="X11" s="191"/>
      <c r="Y11" s="191"/>
      <c r="Z11" s="191"/>
      <c r="AA11" s="191"/>
      <c r="AB11" s="191"/>
      <c r="AC11" s="191"/>
      <c r="AD11" s="191"/>
      <c r="AE11" s="191"/>
      <c r="AF11" s="191"/>
      <c r="AG11" s="191"/>
      <c r="AH11" s="191"/>
      <c r="AI11" s="191"/>
      <c r="AJ11" s="191"/>
    </row>
    <row r="12" spans="1:36" ht="13" customHeight="1" x14ac:dyDescent="0.35">
      <c r="A12" s="195" t="s">
        <v>1450</v>
      </c>
      <c r="B12" s="196"/>
      <c r="C12" s="196"/>
      <c r="D12" s="197"/>
      <c r="E12" s="149"/>
      <c r="F12" s="149">
        <f t="shared" si="1"/>
        <v>0</v>
      </c>
      <c r="G12" s="149"/>
      <c r="H12" s="149">
        <f t="shared" si="2"/>
        <v>0</v>
      </c>
      <c r="I12" s="149"/>
      <c r="J12" s="149"/>
      <c r="K12" s="149"/>
      <c r="L12" s="149"/>
      <c r="M12" s="149"/>
      <c r="N12" s="150"/>
      <c r="O12" s="150"/>
      <c r="P12" s="150"/>
      <c r="Q12" s="149">
        <f t="shared" si="0"/>
        <v>0</v>
      </c>
      <c r="S12" s="191"/>
      <c r="T12" s="191"/>
      <c r="U12" s="191"/>
      <c r="V12" s="191"/>
      <c r="W12" s="191"/>
      <c r="X12" s="191"/>
      <c r="Y12" s="191"/>
      <c r="Z12" s="191"/>
      <c r="AA12" s="191"/>
      <c r="AB12" s="191"/>
      <c r="AC12" s="191"/>
      <c r="AD12" s="191"/>
      <c r="AE12" s="191"/>
      <c r="AF12" s="191"/>
      <c r="AG12" s="191"/>
      <c r="AH12" s="191"/>
      <c r="AI12" s="191"/>
      <c r="AJ12" s="191"/>
    </row>
    <row r="13" spans="1:36" ht="13" customHeight="1" x14ac:dyDescent="0.35">
      <c r="A13" s="129">
        <v>12</v>
      </c>
      <c r="B13" s="131" t="s">
        <v>1438</v>
      </c>
      <c r="C13" s="131" t="s">
        <v>1439</v>
      </c>
      <c r="D13" s="129">
        <v>4</v>
      </c>
      <c r="E13" s="149">
        <v>265742</v>
      </c>
      <c r="F13" s="149">
        <f t="shared" si="1"/>
        <v>1062968</v>
      </c>
      <c r="G13" s="149"/>
      <c r="H13" s="149">
        <f t="shared" si="2"/>
        <v>0</v>
      </c>
      <c r="I13" s="149"/>
      <c r="J13" s="149"/>
      <c r="K13" s="149"/>
      <c r="L13" s="149"/>
      <c r="M13" s="149"/>
      <c r="N13" s="150"/>
      <c r="O13" s="150"/>
      <c r="P13" s="150"/>
      <c r="Q13" s="149">
        <f t="shared" si="0"/>
        <v>2835</v>
      </c>
      <c r="S13" s="191"/>
      <c r="T13" s="191"/>
      <c r="U13" s="191"/>
      <c r="V13" s="191"/>
      <c r="W13" s="191"/>
      <c r="X13" s="191"/>
      <c r="Y13" s="191"/>
      <c r="Z13" s="191"/>
      <c r="AA13" s="191"/>
      <c r="AB13" s="191"/>
      <c r="AC13" s="191"/>
      <c r="AD13" s="191"/>
      <c r="AE13" s="191"/>
      <c r="AF13" s="191"/>
      <c r="AG13" s="191"/>
      <c r="AH13" s="191"/>
      <c r="AI13" s="191"/>
      <c r="AJ13" s="191"/>
    </row>
    <row r="14" spans="1:36" ht="13" customHeight="1" x14ac:dyDescent="0.35">
      <c r="A14" s="195" t="s">
        <v>1451</v>
      </c>
      <c r="B14" s="196"/>
      <c r="C14" s="196"/>
      <c r="D14" s="197"/>
      <c r="E14" s="149"/>
      <c r="F14" s="149">
        <f t="shared" si="1"/>
        <v>0</v>
      </c>
      <c r="G14" s="149"/>
      <c r="H14" s="149">
        <f t="shared" si="2"/>
        <v>0</v>
      </c>
      <c r="I14" s="149"/>
      <c r="J14" s="149"/>
      <c r="K14" s="149"/>
      <c r="L14" s="149"/>
      <c r="M14" s="149"/>
      <c r="N14" s="150"/>
      <c r="O14" s="150"/>
      <c r="P14" s="150"/>
      <c r="Q14" s="149">
        <f t="shared" si="0"/>
        <v>0</v>
      </c>
      <c r="S14" s="191"/>
      <c r="T14" s="191"/>
      <c r="U14" s="191"/>
      <c r="V14" s="191"/>
      <c r="W14" s="191"/>
      <c r="X14" s="191"/>
      <c r="Y14" s="191"/>
      <c r="Z14" s="191"/>
      <c r="AA14" s="191"/>
      <c r="AB14" s="191"/>
      <c r="AC14" s="191"/>
      <c r="AD14" s="191"/>
      <c r="AE14" s="191"/>
      <c r="AF14" s="191"/>
      <c r="AG14" s="191"/>
      <c r="AH14" s="191"/>
      <c r="AI14" s="191"/>
      <c r="AJ14" s="191"/>
    </row>
    <row r="15" spans="1:36" ht="13" customHeight="1" x14ac:dyDescent="0.35">
      <c r="A15" s="129">
        <v>21</v>
      </c>
      <c r="B15" s="131" t="s">
        <v>1452</v>
      </c>
      <c r="C15" s="131" t="s">
        <v>1439</v>
      </c>
      <c r="D15" s="129">
        <v>14</v>
      </c>
      <c r="E15" s="149">
        <v>36758</v>
      </c>
      <c r="F15" s="149">
        <f t="shared" si="1"/>
        <v>514612</v>
      </c>
      <c r="G15" s="149">
        <v>194687</v>
      </c>
      <c r="H15" s="149">
        <f t="shared" si="2"/>
        <v>2725618</v>
      </c>
      <c r="I15" s="149"/>
      <c r="J15" s="149"/>
      <c r="K15" s="149"/>
      <c r="L15" s="149"/>
      <c r="M15" s="149"/>
      <c r="N15" s="150"/>
      <c r="O15" s="150"/>
      <c r="P15" s="150"/>
      <c r="Q15" s="149">
        <f t="shared" si="0"/>
        <v>1372</v>
      </c>
      <c r="S15" s="191"/>
      <c r="T15" s="191"/>
      <c r="U15" s="191"/>
      <c r="V15" s="191"/>
      <c r="W15" s="191"/>
      <c r="X15" s="191"/>
      <c r="Y15" s="191"/>
      <c r="Z15" s="191"/>
      <c r="AA15" s="191"/>
      <c r="AB15" s="191"/>
      <c r="AC15" s="191"/>
      <c r="AD15" s="191"/>
      <c r="AE15" s="191"/>
      <c r="AF15" s="191"/>
      <c r="AG15" s="191"/>
      <c r="AH15" s="191"/>
      <c r="AI15" s="191"/>
      <c r="AJ15" s="191"/>
    </row>
    <row r="16" spans="1:36" ht="13" customHeight="1" x14ac:dyDescent="0.35">
      <c r="A16" s="129">
        <v>22</v>
      </c>
      <c r="B16" s="131" t="s">
        <v>1453</v>
      </c>
      <c r="C16" s="131" t="s">
        <v>1439</v>
      </c>
      <c r="D16" s="129">
        <v>12</v>
      </c>
      <c r="E16" s="149">
        <v>30554</v>
      </c>
      <c r="F16" s="149">
        <f t="shared" si="1"/>
        <v>366648</v>
      </c>
      <c r="G16" s="149">
        <v>186855</v>
      </c>
      <c r="H16" s="149">
        <f t="shared" si="2"/>
        <v>2242260</v>
      </c>
      <c r="I16" s="149"/>
      <c r="J16" s="149"/>
      <c r="K16" s="149"/>
      <c r="L16" s="149"/>
      <c r="M16" s="149"/>
      <c r="N16" s="150"/>
      <c r="O16" s="150"/>
      <c r="P16" s="150"/>
      <c r="Q16" s="149">
        <f t="shared" si="0"/>
        <v>978</v>
      </c>
      <c r="S16" s="191"/>
      <c r="T16" s="191"/>
      <c r="U16" s="191"/>
      <c r="V16" s="191"/>
      <c r="W16" s="191"/>
      <c r="X16" s="191"/>
      <c r="Y16" s="191"/>
      <c r="Z16" s="191"/>
      <c r="AA16" s="191"/>
      <c r="AB16" s="191"/>
      <c r="AC16" s="191"/>
      <c r="AD16" s="191"/>
      <c r="AE16" s="191"/>
      <c r="AF16" s="191"/>
      <c r="AG16" s="191"/>
      <c r="AH16" s="191"/>
      <c r="AI16" s="191"/>
      <c r="AJ16" s="191"/>
    </row>
    <row r="17" spans="1:36" ht="13" customHeight="1" x14ac:dyDescent="0.35">
      <c r="A17" s="129">
        <v>23</v>
      </c>
      <c r="B17" s="131" t="s">
        <v>1454</v>
      </c>
      <c r="C17" s="131" t="s">
        <v>1439</v>
      </c>
      <c r="D17" s="129">
        <v>12</v>
      </c>
      <c r="E17" s="149">
        <v>30106</v>
      </c>
      <c r="F17" s="149">
        <f t="shared" si="1"/>
        <v>361272</v>
      </c>
      <c r="G17" s="149">
        <v>186855</v>
      </c>
      <c r="H17" s="149">
        <f t="shared" si="2"/>
        <v>2242260</v>
      </c>
      <c r="I17" s="149"/>
      <c r="J17" s="149"/>
      <c r="K17" s="149"/>
      <c r="L17" s="149"/>
      <c r="M17" s="149"/>
      <c r="N17" s="150"/>
      <c r="O17" s="150"/>
      <c r="P17" s="150"/>
      <c r="Q17" s="149">
        <f t="shared" si="0"/>
        <v>963</v>
      </c>
      <c r="S17" s="191"/>
      <c r="T17" s="191"/>
      <c r="U17" s="191"/>
      <c r="V17" s="191"/>
      <c r="W17" s="191"/>
      <c r="X17" s="191"/>
      <c r="Y17" s="191"/>
      <c r="Z17" s="191"/>
      <c r="AA17" s="191"/>
      <c r="AB17" s="191"/>
      <c r="AC17" s="191"/>
      <c r="AD17" s="191"/>
      <c r="AE17" s="191"/>
      <c r="AF17" s="191"/>
      <c r="AG17" s="191"/>
      <c r="AH17" s="191"/>
      <c r="AI17" s="191"/>
      <c r="AJ17" s="191"/>
    </row>
    <row r="18" spans="1:36" ht="13" customHeight="1" x14ac:dyDescent="0.35">
      <c r="A18" s="129">
        <v>24</v>
      </c>
      <c r="B18" s="131" t="s">
        <v>1455</v>
      </c>
      <c r="C18" s="131" t="s">
        <v>1439</v>
      </c>
      <c r="D18" s="129">
        <v>26</v>
      </c>
      <c r="E18" s="149">
        <v>30106</v>
      </c>
      <c r="F18" s="149">
        <f t="shared" si="1"/>
        <v>782756</v>
      </c>
      <c r="G18" s="149">
        <v>193568</v>
      </c>
      <c r="H18" s="149">
        <f t="shared" si="2"/>
        <v>5032768</v>
      </c>
      <c r="I18" s="149"/>
      <c r="J18" s="149"/>
      <c r="K18" s="149"/>
      <c r="L18" s="149"/>
      <c r="M18" s="149"/>
      <c r="N18" s="150"/>
      <c r="O18" s="150"/>
      <c r="P18" s="150"/>
      <c r="Q18" s="149">
        <f t="shared" si="0"/>
        <v>2087</v>
      </c>
      <c r="S18" s="191"/>
      <c r="T18" s="191"/>
      <c r="U18" s="191"/>
      <c r="V18" s="191"/>
      <c r="W18" s="191"/>
      <c r="X18" s="191"/>
      <c r="Y18" s="191"/>
      <c r="Z18" s="191"/>
      <c r="AA18" s="191"/>
      <c r="AB18" s="191"/>
      <c r="AC18" s="191"/>
      <c r="AD18" s="191"/>
      <c r="AE18" s="191"/>
      <c r="AF18" s="191"/>
      <c r="AG18" s="191"/>
      <c r="AH18" s="191"/>
      <c r="AI18" s="191"/>
      <c r="AJ18" s="191"/>
    </row>
    <row r="19" spans="1:36" ht="13" customHeight="1" x14ac:dyDescent="0.35">
      <c r="A19" s="129">
        <v>25</v>
      </c>
      <c r="B19" s="131" t="s">
        <v>1456</v>
      </c>
      <c r="C19" s="131" t="s">
        <v>1439</v>
      </c>
      <c r="D19" s="129">
        <v>12</v>
      </c>
      <c r="E19" s="149">
        <v>32413</v>
      </c>
      <c r="F19" s="149">
        <f t="shared" si="1"/>
        <v>388956</v>
      </c>
      <c r="G19" s="149">
        <v>186855</v>
      </c>
      <c r="H19" s="149">
        <f t="shared" si="2"/>
        <v>2242260</v>
      </c>
      <c r="I19" s="149"/>
      <c r="J19" s="149"/>
      <c r="K19" s="149"/>
      <c r="L19" s="149"/>
      <c r="M19" s="149"/>
      <c r="N19" s="150"/>
      <c r="O19" s="150"/>
      <c r="P19" s="150"/>
      <c r="Q19" s="149">
        <f t="shared" si="0"/>
        <v>1037</v>
      </c>
      <c r="S19" s="191"/>
      <c r="T19" s="191"/>
      <c r="U19" s="191"/>
      <c r="V19" s="191"/>
      <c r="W19" s="191"/>
      <c r="X19" s="191"/>
      <c r="Y19" s="191"/>
      <c r="Z19" s="191"/>
      <c r="AA19" s="191"/>
      <c r="AB19" s="191"/>
      <c r="AC19" s="191"/>
      <c r="AD19" s="191"/>
      <c r="AE19" s="191"/>
      <c r="AF19" s="191"/>
      <c r="AG19" s="191"/>
      <c r="AH19" s="191"/>
      <c r="AI19" s="191"/>
      <c r="AJ19" s="191"/>
    </row>
    <row r="20" spans="1:36" ht="13" customHeight="1" x14ac:dyDescent="0.35">
      <c r="A20" s="129">
        <v>26</v>
      </c>
      <c r="B20" s="131" t="s">
        <v>1457</v>
      </c>
      <c r="C20" s="131" t="s">
        <v>1439</v>
      </c>
      <c r="D20" s="129">
        <v>12</v>
      </c>
      <c r="E20" s="149">
        <v>35056</v>
      </c>
      <c r="F20" s="149">
        <f t="shared" si="1"/>
        <v>420672</v>
      </c>
      <c r="G20" s="149">
        <v>202520</v>
      </c>
      <c r="H20" s="149">
        <f t="shared" si="2"/>
        <v>2430240</v>
      </c>
      <c r="I20" s="149"/>
      <c r="J20" s="149"/>
      <c r="K20" s="149"/>
      <c r="L20" s="149"/>
      <c r="M20" s="149"/>
      <c r="N20" s="150"/>
      <c r="O20" s="150"/>
      <c r="P20" s="150"/>
      <c r="Q20" s="149">
        <f t="shared" si="0"/>
        <v>1122</v>
      </c>
      <c r="S20" s="191"/>
      <c r="T20" s="191"/>
      <c r="U20" s="191"/>
      <c r="V20" s="191"/>
      <c r="W20" s="191"/>
      <c r="X20" s="191"/>
      <c r="Y20" s="191"/>
      <c r="Z20" s="191"/>
      <c r="AA20" s="191"/>
      <c r="AB20" s="191"/>
      <c r="AC20" s="191"/>
      <c r="AD20" s="191"/>
      <c r="AE20" s="191"/>
      <c r="AF20" s="191"/>
      <c r="AG20" s="191"/>
      <c r="AH20" s="191"/>
      <c r="AI20" s="191"/>
      <c r="AJ20" s="191"/>
    </row>
    <row r="21" spans="1:36" ht="13" customHeight="1" x14ac:dyDescent="0.35">
      <c r="A21" s="129">
        <v>27</v>
      </c>
      <c r="B21" s="131" t="s">
        <v>1458</v>
      </c>
      <c r="C21" s="131" t="s">
        <v>1439</v>
      </c>
      <c r="D21" s="129">
        <v>8</v>
      </c>
      <c r="E21" s="149">
        <v>35246</v>
      </c>
      <c r="F21" s="149">
        <f t="shared" si="1"/>
        <v>281968</v>
      </c>
      <c r="G21" s="149">
        <v>97907</v>
      </c>
      <c r="H21" s="149">
        <f t="shared" si="2"/>
        <v>783256</v>
      </c>
      <c r="I21" s="149"/>
      <c r="J21" s="149"/>
      <c r="K21" s="149"/>
      <c r="L21" s="149"/>
      <c r="M21" s="149"/>
      <c r="N21" s="150"/>
      <c r="O21" s="150"/>
      <c r="P21" s="150"/>
      <c r="Q21" s="149">
        <f t="shared" si="0"/>
        <v>752</v>
      </c>
      <c r="S21" s="191"/>
      <c r="T21" s="191"/>
      <c r="U21" s="191"/>
      <c r="V21" s="191"/>
      <c r="W21" s="191"/>
      <c r="X21" s="191"/>
      <c r="Y21" s="191"/>
      <c r="Z21" s="191"/>
      <c r="AA21" s="191"/>
      <c r="AB21" s="191"/>
      <c r="AC21" s="191"/>
      <c r="AD21" s="191"/>
      <c r="AE21" s="191"/>
      <c r="AF21" s="191"/>
      <c r="AG21" s="191"/>
      <c r="AH21" s="191"/>
      <c r="AI21" s="191"/>
      <c r="AJ21" s="191"/>
    </row>
    <row r="22" spans="1:36" ht="13" customHeight="1" x14ac:dyDescent="0.35">
      <c r="A22" s="129"/>
      <c r="B22" s="151" t="s">
        <v>1459</v>
      </c>
      <c r="C22" s="131" t="s">
        <v>1439</v>
      </c>
      <c r="D22" s="129">
        <v>12</v>
      </c>
      <c r="E22" s="149">
        <v>80000</v>
      </c>
      <c r="F22" s="149">
        <f t="shared" si="1"/>
        <v>960000</v>
      </c>
      <c r="G22" s="149"/>
      <c r="H22" s="149"/>
      <c r="I22" s="149"/>
      <c r="J22" s="149"/>
      <c r="K22" s="149"/>
      <c r="L22" s="149"/>
      <c r="M22" s="149"/>
      <c r="N22" s="150"/>
      <c r="O22" s="150"/>
      <c r="P22" s="150"/>
      <c r="Q22" s="149">
        <f t="shared" si="0"/>
        <v>2560</v>
      </c>
      <c r="S22" s="191"/>
      <c r="T22" s="191"/>
      <c r="U22" s="191"/>
      <c r="V22" s="191"/>
      <c r="W22" s="191"/>
      <c r="X22" s="191"/>
      <c r="Y22" s="191"/>
      <c r="Z22" s="191"/>
      <c r="AA22" s="191"/>
      <c r="AB22" s="191"/>
      <c r="AC22" s="191"/>
      <c r="AD22" s="191"/>
      <c r="AE22" s="191"/>
      <c r="AF22" s="191"/>
      <c r="AG22" s="191"/>
      <c r="AH22" s="191"/>
      <c r="AI22" s="191"/>
      <c r="AJ22" s="191"/>
    </row>
    <row r="23" spans="1:36" ht="13" customHeight="1" x14ac:dyDescent="0.35">
      <c r="A23" s="129">
        <v>29</v>
      </c>
      <c r="B23" s="131" t="s">
        <v>1460</v>
      </c>
      <c r="C23" s="131" t="s">
        <v>1439</v>
      </c>
      <c r="D23" s="129">
        <v>12</v>
      </c>
      <c r="E23" s="149">
        <v>131000</v>
      </c>
      <c r="F23" s="149">
        <f t="shared" si="1"/>
        <v>1572000</v>
      </c>
      <c r="G23" s="149">
        <v>14497</v>
      </c>
      <c r="H23" s="149">
        <f t="shared" ref="H23:H28" si="3">D23*G23</f>
        <v>173964</v>
      </c>
      <c r="I23" s="149"/>
      <c r="J23" s="149"/>
      <c r="K23" s="149"/>
      <c r="L23" s="149"/>
      <c r="M23" s="149"/>
      <c r="N23" s="150"/>
      <c r="O23" s="150"/>
      <c r="P23" s="150"/>
      <c r="Q23" s="149">
        <f t="shared" si="0"/>
        <v>4192</v>
      </c>
      <c r="S23" s="191"/>
      <c r="T23" s="191"/>
      <c r="U23" s="191"/>
      <c r="V23" s="191"/>
      <c r="W23" s="191"/>
      <c r="X23" s="191"/>
      <c r="Y23" s="191"/>
      <c r="Z23" s="191"/>
      <c r="AA23" s="191"/>
      <c r="AB23" s="191"/>
      <c r="AC23" s="191"/>
      <c r="AD23" s="191"/>
      <c r="AE23" s="191"/>
      <c r="AF23" s="191"/>
      <c r="AG23" s="191"/>
      <c r="AH23" s="191"/>
      <c r="AI23" s="191"/>
      <c r="AJ23" s="191"/>
    </row>
    <row r="24" spans="1:36" ht="13" customHeight="1" x14ac:dyDescent="0.35">
      <c r="A24" s="195" t="s">
        <v>1461</v>
      </c>
      <c r="B24" s="196"/>
      <c r="C24" s="196"/>
      <c r="D24" s="196"/>
      <c r="E24" s="197"/>
      <c r="F24" s="149">
        <f t="shared" si="1"/>
        <v>0</v>
      </c>
      <c r="G24" s="149"/>
      <c r="H24" s="149">
        <f t="shared" si="3"/>
        <v>0</v>
      </c>
      <c r="I24" s="149"/>
      <c r="J24" s="149"/>
      <c r="K24" s="149"/>
      <c r="L24" s="149"/>
      <c r="M24" s="149"/>
      <c r="N24" s="150"/>
      <c r="O24" s="150"/>
      <c r="P24" s="150"/>
      <c r="Q24" s="149">
        <f t="shared" si="0"/>
        <v>0</v>
      </c>
      <c r="S24" s="191"/>
      <c r="T24" s="191"/>
      <c r="U24" s="191"/>
      <c r="V24" s="191"/>
      <c r="W24" s="191"/>
      <c r="X24" s="191"/>
      <c r="Y24" s="191"/>
      <c r="Z24" s="191"/>
      <c r="AA24" s="191"/>
      <c r="AB24" s="191"/>
      <c r="AC24" s="191"/>
      <c r="AD24" s="191"/>
      <c r="AE24" s="191"/>
      <c r="AF24" s="191"/>
      <c r="AG24" s="191"/>
      <c r="AH24" s="191"/>
      <c r="AI24" s="191"/>
      <c r="AJ24" s="191"/>
    </row>
    <row r="25" spans="1:36" ht="13" customHeight="1" x14ac:dyDescent="0.35">
      <c r="A25" s="129">
        <v>37</v>
      </c>
      <c r="B25" s="131" t="s">
        <v>1440</v>
      </c>
      <c r="C25" s="131" t="s">
        <v>1439</v>
      </c>
      <c r="D25" s="129">
        <v>8</v>
      </c>
      <c r="E25" s="149">
        <v>1337739</v>
      </c>
      <c r="F25" s="149">
        <f t="shared" si="1"/>
        <v>10701912</v>
      </c>
      <c r="G25" s="149"/>
      <c r="H25" s="149">
        <f t="shared" si="3"/>
        <v>0</v>
      </c>
      <c r="I25" s="149"/>
      <c r="J25" s="149"/>
      <c r="K25" s="149"/>
      <c r="L25" s="149"/>
      <c r="M25" s="149"/>
      <c r="N25" s="150"/>
      <c r="O25" s="150"/>
      <c r="P25" s="150"/>
      <c r="Q25" s="149">
        <f t="shared" si="0"/>
        <v>28538</v>
      </c>
      <c r="S25" s="191"/>
      <c r="T25" s="191"/>
      <c r="U25" s="191"/>
      <c r="V25" s="191"/>
      <c r="W25" s="191"/>
      <c r="X25" s="191"/>
      <c r="Y25" s="191"/>
      <c r="Z25" s="191"/>
      <c r="AA25" s="191"/>
      <c r="AB25" s="191"/>
      <c r="AC25" s="191"/>
      <c r="AD25" s="191"/>
      <c r="AE25" s="191"/>
      <c r="AF25" s="191"/>
      <c r="AG25" s="191"/>
      <c r="AH25" s="191"/>
      <c r="AI25" s="191"/>
      <c r="AJ25" s="191"/>
    </row>
    <row r="26" spans="1:36" ht="13" customHeight="1" x14ac:dyDescent="0.35">
      <c r="A26" s="129">
        <v>38</v>
      </c>
      <c r="B26" s="131" t="s">
        <v>1441</v>
      </c>
      <c r="C26" s="131" t="s">
        <v>1439</v>
      </c>
      <c r="D26" s="129">
        <v>14</v>
      </c>
      <c r="E26" s="149">
        <v>64232</v>
      </c>
      <c r="F26" s="149">
        <f t="shared" si="1"/>
        <v>899248</v>
      </c>
      <c r="G26" s="149"/>
      <c r="H26" s="149">
        <f t="shared" si="3"/>
        <v>0</v>
      </c>
      <c r="I26" s="149"/>
      <c r="J26" s="149"/>
      <c r="K26" s="149"/>
      <c r="L26" s="149"/>
      <c r="M26" s="149"/>
      <c r="N26" s="150"/>
      <c r="O26" s="150"/>
      <c r="P26" s="150"/>
      <c r="Q26" s="149">
        <f t="shared" si="0"/>
        <v>2398</v>
      </c>
      <c r="S26" s="191"/>
      <c r="T26" s="191"/>
      <c r="U26" s="191"/>
      <c r="V26" s="191"/>
      <c r="W26" s="191"/>
      <c r="X26" s="191"/>
      <c r="Y26" s="191"/>
      <c r="Z26" s="191"/>
      <c r="AA26" s="191"/>
      <c r="AB26" s="191"/>
      <c r="AC26" s="191"/>
      <c r="AD26" s="191"/>
      <c r="AE26" s="191"/>
      <c r="AF26" s="191"/>
      <c r="AG26" s="191"/>
      <c r="AH26" s="191"/>
      <c r="AI26" s="191"/>
      <c r="AJ26" s="191"/>
    </row>
    <row r="27" spans="1:36" ht="13" customHeight="1" x14ac:dyDescent="0.35">
      <c r="A27" s="129">
        <v>39</v>
      </c>
      <c r="B27" s="131" t="s">
        <v>1442</v>
      </c>
      <c r="C27" s="131" t="s">
        <v>1443</v>
      </c>
      <c r="D27" s="129">
        <v>2</v>
      </c>
      <c r="E27" s="129">
        <v>30000</v>
      </c>
      <c r="F27" s="129">
        <f t="shared" si="1"/>
        <v>60000</v>
      </c>
      <c r="G27" s="152"/>
      <c r="H27" s="152">
        <f t="shared" si="3"/>
        <v>0</v>
      </c>
      <c r="I27" s="152"/>
      <c r="J27" s="152"/>
      <c r="K27" s="152"/>
      <c r="L27" s="152"/>
      <c r="M27" s="152"/>
      <c r="N27" s="150"/>
      <c r="O27" s="150"/>
      <c r="P27" s="150"/>
      <c r="Q27" s="149">
        <f t="shared" si="0"/>
        <v>160</v>
      </c>
      <c r="S27" s="191"/>
      <c r="T27" s="191"/>
      <c r="U27" s="191"/>
      <c r="V27" s="191"/>
      <c r="W27" s="191"/>
      <c r="X27" s="191"/>
      <c r="Y27" s="191"/>
      <c r="Z27" s="191"/>
      <c r="AA27" s="191"/>
      <c r="AB27" s="191"/>
      <c r="AC27" s="191"/>
      <c r="AD27" s="191"/>
      <c r="AE27" s="191"/>
      <c r="AF27" s="191"/>
      <c r="AG27" s="191"/>
      <c r="AH27" s="191"/>
      <c r="AI27" s="191"/>
      <c r="AJ27" s="191"/>
    </row>
    <row r="28" spans="1:36" ht="13" customHeight="1" x14ac:dyDescent="0.35">
      <c r="A28" s="129">
        <v>40</v>
      </c>
      <c r="B28" s="131" t="s">
        <v>1444</v>
      </c>
      <c r="C28" s="131" t="s">
        <v>1445</v>
      </c>
      <c r="D28" s="129">
        <v>2</v>
      </c>
      <c r="E28" s="129">
        <v>200000</v>
      </c>
      <c r="F28" s="129">
        <f t="shared" si="1"/>
        <v>400000</v>
      </c>
      <c r="G28" s="150"/>
      <c r="H28" s="152">
        <f t="shared" si="3"/>
        <v>0</v>
      </c>
      <c r="I28" s="150"/>
      <c r="J28" s="150"/>
      <c r="K28" s="150"/>
      <c r="L28" s="150"/>
      <c r="M28" s="150"/>
      <c r="N28" s="150"/>
      <c r="O28" s="150"/>
      <c r="P28" s="150"/>
      <c r="Q28" s="149">
        <f t="shared" si="0"/>
        <v>1067</v>
      </c>
      <c r="S28" s="191"/>
      <c r="T28" s="191"/>
      <c r="U28" s="191"/>
      <c r="V28" s="191"/>
      <c r="W28" s="191"/>
      <c r="X28" s="191"/>
      <c r="Y28" s="191"/>
      <c r="Z28" s="191"/>
      <c r="AA28" s="191"/>
      <c r="AB28" s="191"/>
      <c r="AC28" s="191"/>
      <c r="AD28" s="191"/>
      <c r="AE28" s="191"/>
      <c r="AF28" s="191"/>
      <c r="AG28" s="191"/>
      <c r="AH28" s="191"/>
      <c r="AI28" s="191"/>
      <c r="AJ28" s="191"/>
    </row>
    <row r="29" spans="1:36" s="134" customFormat="1" ht="13" customHeight="1" x14ac:dyDescent="0.35">
      <c r="A29" s="129">
        <v>41</v>
      </c>
      <c r="B29" s="131" t="s">
        <v>1446</v>
      </c>
      <c r="C29" s="131"/>
      <c r="D29" s="129"/>
      <c r="E29" s="129">
        <v>11062500</v>
      </c>
      <c r="F29" s="129">
        <f>E29</f>
        <v>11062500</v>
      </c>
      <c r="G29" s="150"/>
      <c r="H29" s="152"/>
      <c r="I29" s="150"/>
      <c r="J29" s="150"/>
      <c r="K29" s="150"/>
      <c r="L29" s="150"/>
      <c r="M29" s="150"/>
      <c r="N29" s="150"/>
      <c r="O29" s="150"/>
      <c r="P29" s="150"/>
      <c r="Q29" s="149">
        <f t="shared" si="0"/>
        <v>29500</v>
      </c>
      <c r="R29" s="125"/>
      <c r="S29" s="191"/>
      <c r="T29" s="191"/>
      <c r="U29" s="191"/>
      <c r="V29" s="191"/>
      <c r="W29" s="191"/>
      <c r="X29" s="191"/>
      <c r="Y29" s="191"/>
      <c r="Z29" s="191"/>
      <c r="AA29" s="191"/>
      <c r="AB29" s="191"/>
      <c r="AC29" s="191"/>
      <c r="AD29" s="191"/>
      <c r="AE29" s="191"/>
      <c r="AF29" s="191"/>
      <c r="AG29" s="191"/>
      <c r="AH29" s="191"/>
      <c r="AI29" s="191"/>
      <c r="AJ29" s="191"/>
    </row>
    <row r="30" spans="1:36" s="134" customFormat="1" ht="13" customHeight="1" x14ac:dyDescent="0.35">
      <c r="A30" s="129">
        <v>42</v>
      </c>
      <c r="B30" s="131" t="s">
        <v>1447</v>
      </c>
      <c r="C30" s="131"/>
      <c r="D30" s="131"/>
      <c r="E30" s="129">
        <v>6479838</v>
      </c>
      <c r="F30" s="129">
        <v>6479838</v>
      </c>
      <c r="G30" s="150"/>
      <c r="H30" s="150"/>
      <c r="I30" s="150"/>
      <c r="J30" s="150"/>
      <c r="K30" s="150"/>
      <c r="L30" s="150"/>
      <c r="M30" s="150"/>
      <c r="N30" s="150"/>
      <c r="O30" s="150"/>
      <c r="P30" s="150"/>
      <c r="Q30" s="149">
        <f t="shared" si="0"/>
        <v>17280</v>
      </c>
      <c r="R30" s="125"/>
      <c r="S30" s="191"/>
      <c r="T30" s="191"/>
      <c r="U30" s="191"/>
      <c r="V30" s="191"/>
      <c r="W30" s="191"/>
      <c r="X30" s="191"/>
      <c r="Y30" s="191"/>
      <c r="Z30" s="191"/>
      <c r="AA30" s="191"/>
      <c r="AB30" s="191"/>
      <c r="AC30" s="191"/>
      <c r="AD30" s="191"/>
      <c r="AE30" s="191"/>
      <c r="AF30" s="191"/>
      <c r="AG30" s="191"/>
      <c r="AH30" s="191"/>
      <c r="AI30" s="191"/>
      <c r="AJ30" s="191"/>
    </row>
    <row r="31" spans="1:36" ht="13" customHeight="1" x14ac:dyDescent="0.35">
      <c r="F31" s="136">
        <f>F4+F5+F6+F7+F8+F9+F11+F13+F15+F16+F17+F18+F19+F20+F21+F22+F23+F25+F26+F27+F28+F29+F30</f>
        <v>144559922</v>
      </c>
      <c r="G31" s="153"/>
      <c r="H31" s="153"/>
      <c r="I31" s="153"/>
      <c r="J31" s="153"/>
      <c r="K31" s="153"/>
      <c r="L31" s="153"/>
      <c r="M31" s="153"/>
      <c r="N31" s="153"/>
      <c r="O31" s="153"/>
      <c r="P31" s="153"/>
      <c r="Q31" s="127">
        <f t="shared" si="0"/>
        <v>385493</v>
      </c>
      <c r="S31" s="191"/>
      <c r="T31" s="191"/>
      <c r="U31" s="191"/>
      <c r="V31" s="191"/>
      <c r="W31" s="191"/>
      <c r="X31" s="191"/>
      <c r="Y31" s="191"/>
      <c r="Z31" s="191"/>
      <c r="AA31" s="191"/>
      <c r="AB31" s="191"/>
      <c r="AC31" s="191"/>
      <c r="AD31" s="191"/>
      <c r="AE31" s="191"/>
      <c r="AF31" s="191"/>
      <c r="AG31" s="191"/>
      <c r="AH31" s="191"/>
      <c r="AI31" s="191"/>
      <c r="AJ31" s="191"/>
    </row>
    <row r="32" spans="1:36" ht="17.5" x14ac:dyDescent="0.35">
      <c r="Q32" s="127"/>
    </row>
    <row r="33" spans="1:44" ht="17.5" x14ac:dyDescent="0.35">
      <c r="F33" s="137"/>
      <c r="Q33" s="127"/>
    </row>
    <row r="34" spans="1:44" ht="17.5" x14ac:dyDescent="0.35">
      <c r="A34" s="185" t="s">
        <v>1462</v>
      </c>
      <c r="B34" s="186"/>
      <c r="C34" s="186"/>
      <c r="D34" s="186"/>
      <c r="E34" s="186"/>
      <c r="F34" s="187"/>
    </row>
    <row r="35" spans="1:44" ht="35.4" customHeight="1" thickBot="1" x14ac:dyDescent="0.4">
      <c r="A35" s="148" t="s">
        <v>1421</v>
      </c>
      <c r="B35" s="126" t="s">
        <v>1422</v>
      </c>
      <c r="C35" s="126" t="s">
        <v>1423</v>
      </c>
      <c r="D35" s="148" t="s">
        <v>1424</v>
      </c>
      <c r="E35" s="126" t="s">
        <v>1425</v>
      </c>
      <c r="F35" s="126" t="s">
        <v>1426</v>
      </c>
      <c r="G35" s="127" t="s">
        <v>1427</v>
      </c>
      <c r="H35" s="127"/>
      <c r="I35" s="127"/>
      <c r="J35" s="127"/>
      <c r="K35" s="127"/>
      <c r="L35" s="127"/>
      <c r="M35" s="127"/>
      <c r="Q35" s="126" t="s">
        <v>1428</v>
      </c>
      <c r="S35" s="188" t="s">
        <v>1474</v>
      </c>
      <c r="T35" s="188"/>
      <c r="U35" s="188"/>
      <c r="V35" s="188"/>
      <c r="W35" s="188"/>
      <c r="X35" s="188"/>
      <c r="Y35" s="188"/>
      <c r="Z35" s="188"/>
      <c r="AA35" s="188"/>
      <c r="AB35" s="188"/>
      <c r="AC35" s="188"/>
      <c r="AD35" s="188"/>
      <c r="AE35" s="188"/>
      <c r="AF35" s="188"/>
      <c r="AG35" s="188"/>
      <c r="AH35" s="188"/>
      <c r="AI35" s="188"/>
      <c r="AJ35" s="188"/>
      <c r="AK35" s="154"/>
      <c r="AL35" s="154"/>
      <c r="AM35" s="154"/>
      <c r="AN35" s="154"/>
      <c r="AO35" s="154"/>
      <c r="AP35" s="154"/>
      <c r="AQ35" s="154"/>
      <c r="AR35" s="154"/>
    </row>
    <row r="36" spans="1:44" ht="18.5" thickBot="1" x14ac:dyDescent="0.4">
      <c r="A36" s="132">
        <v>1</v>
      </c>
      <c r="B36" s="140" t="s">
        <v>1463</v>
      </c>
      <c r="C36" s="130" t="s">
        <v>1431</v>
      </c>
      <c r="D36" s="132">
        <v>200</v>
      </c>
      <c r="E36" s="141">
        <v>395000</v>
      </c>
      <c r="F36" s="127">
        <f>E36*D36</f>
        <v>79000000</v>
      </c>
      <c r="G36" s="127"/>
      <c r="H36" s="127">
        <f>D36*G36</f>
        <v>0</v>
      </c>
      <c r="I36" s="127"/>
      <c r="J36" s="127"/>
      <c r="K36" s="127"/>
      <c r="L36" s="127"/>
      <c r="M36" s="127"/>
      <c r="Q36" s="127">
        <f t="shared" ref="Q36:Q43" si="4">F36/375</f>
        <v>210667</v>
      </c>
      <c r="S36" s="188"/>
      <c r="T36" s="188"/>
      <c r="U36" s="188"/>
      <c r="V36" s="188"/>
      <c r="W36" s="188"/>
      <c r="X36" s="188"/>
      <c r="Y36" s="188"/>
      <c r="Z36" s="188"/>
      <c r="AA36" s="188"/>
      <c r="AB36" s="188"/>
      <c r="AC36" s="188"/>
      <c r="AD36" s="188"/>
      <c r="AE36" s="188"/>
      <c r="AF36" s="188"/>
      <c r="AG36" s="188"/>
      <c r="AH36" s="188"/>
      <c r="AI36" s="188"/>
      <c r="AJ36" s="188"/>
      <c r="AK36" s="154"/>
      <c r="AL36" s="154"/>
      <c r="AM36" s="154"/>
      <c r="AN36" s="154"/>
      <c r="AO36" s="154"/>
      <c r="AP36" s="154"/>
      <c r="AQ36" s="154"/>
      <c r="AR36" s="154"/>
    </row>
    <row r="37" spans="1:44" ht="18.5" thickBot="1" x14ac:dyDescent="0.4">
      <c r="A37" s="132">
        <v>2</v>
      </c>
      <c r="B37" s="142" t="s">
        <v>1464</v>
      </c>
      <c r="C37" s="130" t="s">
        <v>1431</v>
      </c>
      <c r="D37" s="132">
        <v>30</v>
      </c>
      <c r="E37" s="141">
        <v>120000</v>
      </c>
      <c r="F37" s="127">
        <f t="shared" ref="F37:F42" si="5">E37*D37</f>
        <v>3600000</v>
      </c>
      <c r="G37" s="127"/>
      <c r="H37" s="127">
        <f>D37*G37</f>
        <v>0</v>
      </c>
      <c r="I37" s="127"/>
      <c r="J37" s="127"/>
      <c r="K37" s="127"/>
      <c r="L37" s="127"/>
      <c r="M37" s="127"/>
      <c r="Q37" s="127">
        <f t="shared" si="4"/>
        <v>9600</v>
      </c>
      <c r="S37" s="188"/>
      <c r="T37" s="188"/>
      <c r="U37" s="188"/>
      <c r="V37" s="188"/>
      <c r="W37" s="188"/>
      <c r="X37" s="188"/>
      <c r="Y37" s="188"/>
      <c r="Z37" s="188"/>
      <c r="AA37" s="188"/>
      <c r="AB37" s="188"/>
      <c r="AC37" s="188"/>
      <c r="AD37" s="188"/>
      <c r="AE37" s="188"/>
      <c r="AF37" s="188"/>
      <c r="AG37" s="188"/>
      <c r="AH37" s="188"/>
      <c r="AI37" s="188"/>
      <c r="AJ37" s="188"/>
      <c r="AK37" s="154"/>
      <c r="AL37" s="154"/>
      <c r="AM37" s="154"/>
      <c r="AN37" s="154"/>
      <c r="AO37" s="154"/>
      <c r="AP37" s="154"/>
      <c r="AQ37" s="154"/>
      <c r="AR37" s="154"/>
    </row>
    <row r="38" spans="1:44" ht="18.5" thickBot="1" x14ac:dyDescent="0.4">
      <c r="A38" s="132">
        <v>3</v>
      </c>
      <c r="B38" s="142" t="s">
        <v>1465</v>
      </c>
      <c r="C38" s="130" t="s">
        <v>1431</v>
      </c>
      <c r="D38" s="132">
        <v>20</v>
      </c>
      <c r="E38" s="141">
        <v>135000</v>
      </c>
      <c r="F38" s="127">
        <f t="shared" si="5"/>
        <v>2700000</v>
      </c>
      <c r="G38" s="127"/>
      <c r="H38" s="127">
        <f>D38*G38</f>
        <v>0</v>
      </c>
      <c r="I38" s="127"/>
      <c r="J38" s="127"/>
      <c r="K38" s="127"/>
      <c r="L38" s="127"/>
      <c r="M38" s="127"/>
      <c r="Q38" s="127">
        <f t="shared" si="4"/>
        <v>7200</v>
      </c>
      <c r="S38" s="188"/>
      <c r="T38" s="188"/>
      <c r="U38" s="188"/>
      <c r="V38" s="188"/>
      <c r="W38" s="188"/>
      <c r="X38" s="188"/>
      <c r="Y38" s="188"/>
      <c r="Z38" s="188"/>
      <c r="AA38" s="188"/>
      <c r="AB38" s="188"/>
      <c r="AC38" s="188"/>
      <c r="AD38" s="188"/>
      <c r="AE38" s="188"/>
      <c r="AF38" s="188"/>
      <c r="AG38" s="188"/>
      <c r="AH38" s="188"/>
      <c r="AI38" s="188"/>
      <c r="AJ38" s="188"/>
      <c r="AK38" s="154"/>
      <c r="AL38" s="154"/>
      <c r="AM38" s="154"/>
      <c r="AN38" s="154"/>
      <c r="AO38" s="154"/>
      <c r="AP38" s="154"/>
      <c r="AQ38" s="154"/>
      <c r="AR38" s="154"/>
    </row>
    <row r="39" spans="1:44" ht="18.5" thickBot="1" x14ac:dyDescent="0.4">
      <c r="A39" s="132">
        <v>4</v>
      </c>
      <c r="B39" s="142" t="s">
        <v>1466</v>
      </c>
      <c r="C39" s="130" t="s">
        <v>1431</v>
      </c>
      <c r="D39" s="132">
        <v>25</v>
      </c>
      <c r="E39" s="143">
        <v>145000</v>
      </c>
      <c r="F39" s="127">
        <f t="shared" si="5"/>
        <v>3625000</v>
      </c>
      <c r="G39" s="133"/>
      <c r="H39" s="133">
        <f>D39*G39</f>
        <v>0</v>
      </c>
      <c r="I39" s="133"/>
      <c r="J39" s="133"/>
      <c r="K39" s="133"/>
      <c r="L39" s="133"/>
      <c r="M39" s="133"/>
      <c r="Q39" s="127">
        <f t="shared" si="4"/>
        <v>9667</v>
      </c>
      <c r="S39" s="188"/>
      <c r="T39" s="188"/>
      <c r="U39" s="188"/>
      <c r="V39" s="188"/>
      <c r="W39" s="188"/>
      <c r="X39" s="188"/>
      <c r="Y39" s="188"/>
      <c r="Z39" s="188"/>
      <c r="AA39" s="188"/>
      <c r="AB39" s="188"/>
      <c r="AC39" s="188"/>
      <c r="AD39" s="188"/>
      <c r="AE39" s="188"/>
      <c r="AF39" s="188"/>
      <c r="AG39" s="188"/>
      <c r="AH39" s="188"/>
      <c r="AI39" s="188"/>
      <c r="AJ39" s="188"/>
      <c r="AK39" s="154"/>
      <c r="AL39" s="154"/>
      <c r="AM39" s="154"/>
      <c r="AN39" s="154"/>
      <c r="AO39" s="154"/>
      <c r="AP39" s="154"/>
      <c r="AQ39" s="154"/>
      <c r="AR39" s="154"/>
    </row>
    <row r="40" spans="1:44" ht="18.5" thickBot="1" x14ac:dyDescent="0.4">
      <c r="A40" s="132">
        <v>5</v>
      </c>
      <c r="B40" s="142" t="s">
        <v>1467</v>
      </c>
      <c r="C40" s="130" t="s">
        <v>1431</v>
      </c>
      <c r="D40" s="132">
        <v>50</v>
      </c>
      <c r="E40" s="143">
        <v>125000</v>
      </c>
      <c r="F40" s="127">
        <f t="shared" si="5"/>
        <v>6250000</v>
      </c>
      <c r="H40" s="133">
        <f>D40*G40</f>
        <v>0</v>
      </c>
      <c r="Q40" s="127">
        <f t="shared" si="4"/>
        <v>16667</v>
      </c>
      <c r="S40" s="188"/>
      <c r="T40" s="188"/>
      <c r="U40" s="188"/>
      <c r="V40" s="188"/>
      <c r="W40" s="188"/>
      <c r="X40" s="188"/>
      <c r="Y40" s="188"/>
      <c r="Z40" s="188"/>
      <c r="AA40" s="188"/>
      <c r="AB40" s="188"/>
      <c r="AC40" s="188"/>
      <c r="AD40" s="188"/>
      <c r="AE40" s="188"/>
      <c r="AF40" s="188"/>
      <c r="AG40" s="188"/>
      <c r="AH40" s="188"/>
      <c r="AI40" s="188"/>
      <c r="AJ40" s="188"/>
      <c r="AK40" s="154"/>
      <c r="AL40" s="154"/>
      <c r="AM40" s="154"/>
      <c r="AN40" s="154"/>
      <c r="AO40" s="154"/>
      <c r="AP40" s="154"/>
      <c r="AQ40" s="154"/>
      <c r="AR40" s="154"/>
    </row>
    <row r="41" spans="1:44" ht="18.5" thickBot="1" x14ac:dyDescent="0.4">
      <c r="A41" s="132">
        <v>6</v>
      </c>
      <c r="B41" s="142" t="s">
        <v>1468</v>
      </c>
      <c r="C41" s="130" t="s">
        <v>1431</v>
      </c>
      <c r="D41" s="132">
        <v>40</v>
      </c>
      <c r="E41" s="143">
        <v>85000</v>
      </c>
      <c r="F41" s="127">
        <f t="shared" si="5"/>
        <v>3400000</v>
      </c>
      <c r="H41" s="133"/>
      <c r="Q41" s="127">
        <f t="shared" si="4"/>
        <v>9067</v>
      </c>
      <c r="S41" s="188"/>
      <c r="T41" s="188"/>
      <c r="U41" s="188"/>
      <c r="V41" s="188"/>
      <c r="W41" s="188"/>
      <c r="X41" s="188"/>
      <c r="Y41" s="188"/>
      <c r="Z41" s="188"/>
      <c r="AA41" s="188"/>
      <c r="AB41" s="188"/>
      <c r="AC41" s="188"/>
      <c r="AD41" s="188"/>
      <c r="AE41" s="188"/>
      <c r="AF41" s="188"/>
      <c r="AG41" s="188"/>
      <c r="AH41" s="188"/>
      <c r="AI41" s="188"/>
      <c r="AJ41" s="188"/>
      <c r="AK41" s="154"/>
      <c r="AL41" s="154"/>
      <c r="AM41" s="154"/>
      <c r="AN41" s="154"/>
      <c r="AO41" s="154"/>
      <c r="AP41" s="154"/>
      <c r="AQ41" s="154"/>
      <c r="AR41" s="154"/>
    </row>
    <row r="42" spans="1:44" ht="18.5" thickBot="1" x14ac:dyDescent="0.4">
      <c r="A42" s="132">
        <v>7</v>
      </c>
      <c r="B42" s="144" t="s">
        <v>1469</v>
      </c>
      <c r="C42" s="130" t="s">
        <v>1431</v>
      </c>
      <c r="D42" s="132">
        <v>3</v>
      </c>
      <c r="E42" s="143">
        <v>140000</v>
      </c>
      <c r="F42" s="127">
        <f t="shared" si="5"/>
        <v>420000</v>
      </c>
      <c r="H42" s="133"/>
      <c r="Q42" s="127">
        <f t="shared" si="4"/>
        <v>1120</v>
      </c>
      <c r="S42" s="188"/>
      <c r="T42" s="188"/>
      <c r="U42" s="188"/>
      <c r="V42" s="188"/>
      <c r="W42" s="188"/>
      <c r="X42" s="188"/>
      <c r="Y42" s="188"/>
      <c r="Z42" s="188"/>
      <c r="AA42" s="188"/>
      <c r="AB42" s="188"/>
      <c r="AC42" s="188"/>
      <c r="AD42" s="188"/>
      <c r="AE42" s="188"/>
      <c r="AF42" s="188"/>
      <c r="AG42" s="188"/>
      <c r="AH42" s="188"/>
      <c r="AI42" s="188"/>
      <c r="AJ42" s="188"/>
      <c r="AK42" s="154"/>
      <c r="AL42" s="154"/>
      <c r="AM42" s="154"/>
      <c r="AN42" s="154"/>
      <c r="AO42" s="154"/>
      <c r="AP42" s="154"/>
      <c r="AQ42" s="154"/>
      <c r="AR42" s="154"/>
    </row>
    <row r="43" spans="1:44" ht="18" x14ac:dyDescent="0.35">
      <c r="A43" s="132">
        <v>8</v>
      </c>
      <c r="B43" s="130" t="s">
        <v>1470</v>
      </c>
      <c r="C43" s="130"/>
      <c r="D43" s="130"/>
      <c r="E43" s="148"/>
      <c r="F43" s="155">
        <f>SUM(F36:F42)</f>
        <v>98995000</v>
      </c>
      <c r="Q43" s="127">
        <f t="shared" si="4"/>
        <v>263987</v>
      </c>
      <c r="S43" s="188"/>
      <c r="T43" s="188"/>
      <c r="U43" s="188"/>
      <c r="V43" s="188"/>
      <c r="W43" s="188"/>
      <c r="X43" s="188"/>
      <c r="Y43" s="188"/>
      <c r="Z43" s="188"/>
      <c r="AA43" s="188"/>
      <c r="AB43" s="188"/>
      <c r="AC43" s="188"/>
      <c r="AD43" s="188"/>
      <c r="AE43" s="188"/>
      <c r="AF43" s="188"/>
      <c r="AG43" s="188"/>
      <c r="AH43" s="188"/>
      <c r="AI43" s="188"/>
      <c r="AJ43" s="188"/>
      <c r="AK43" s="154"/>
      <c r="AL43" s="154"/>
      <c r="AM43" s="154"/>
      <c r="AN43" s="154"/>
      <c r="AO43" s="154"/>
      <c r="AP43" s="154"/>
      <c r="AQ43" s="154"/>
      <c r="AR43" s="154"/>
    </row>
    <row r="44" spans="1:44" ht="17.5" x14ac:dyDescent="0.35">
      <c r="A44" s="135">
        <v>9</v>
      </c>
      <c r="B44" s="156" t="s">
        <v>1471</v>
      </c>
      <c r="Q44" s="127">
        <f>Q43*14.04%</f>
        <v>37064</v>
      </c>
      <c r="S44" s="188"/>
      <c r="T44" s="188"/>
      <c r="U44" s="188"/>
      <c r="V44" s="188"/>
      <c r="W44" s="188"/>
      <c r="X44" s="188"/>
      <c r="Y44" s="188"/>
      <c r="Z44" s="188"/>
      <c r="AA44" s="188"/>
      <c r="AB44" s="188"/>
      <c r="AC44" s="188"/>
      <c r="AD44" s="188"/>
      <c r="AE44" s="188"/>
      <c r="AF44" s="188"/>
      <c r="AG44" s="188"/>
      <c r="AH44" s="188"/>
      <c r="AI44" s="188"/>
      <c r="AJ44" s="188"/>
      <c r="AK44" s="154"/>
      <c r="AL44" s="154"/>
      <c r="AM44" s="154"/>
      <c r="AN44" s="154"/>
      <c r="AO44" s="154"/>
      <c r="AP44" s="154"/>
      <c r="AQ44" s="154"/>
      <c r="AR44" s="154"/>
    </row>
    <row r="45" spans="1:44" ht="18" x14ac:dyDescent="0.35">
      <c r="B45" s="130" t="s">
        <v>1470</v>
      </c>
      <c r="C45" s="146"/>
      <c r="D45" s="147"/>
      <c r="E45" s="146"/>
      <c r="F45" s="146"/>
      <c r="G45" s="146"/>
      <c r="H45" s="146"/>
      <c r="I45" s="146"/>
      <c r="J45" s="146"/>
      <c r="K45" s="146"/>
      <c r="L45" s="146"/>
      <c r="M45" s="146"/>
      <c r="N45" s="146"/>
      <c r="O45" s="146"/>
      <c r="P45" s="146"/>
      <c r="Q45" s="157">
        <f>Q43+Q44</f>
        <v>301051</v>
      </c>
      <c r="S45" s="188"/>
      <c r="T45" s="188"/>
      <c r="U45" s="188"/>
      <c r="V45" s="188"/>
      <c r="W45" s="188"/>
      <c r="X45" s="188"/>
      <c r="Y45" s="188"/>
      <c r="Z45" s="188"/>
      <c r="AA45" s="188"/>
      <c r="AB45" s="188"/>
      <c r="AC45" s="188"/>
      <c r="AD45" s="188"/>
      <c r="AE45" s="188"/>
      <c r="AF45" s="188"/>
      <c r="AG45" s="188"/>
      <c r="AH45" s="188"/>
      <c r="AI45" s="188"/>
      <c r="AJ45" s="188"/>
      <c r="AK45" s="154"/>
      <c r="AL45" s="154"/>
      <c r="AM45" s="154"/>
      <c r="AN45" s="154"/>
      <c r="AO45" s="154"/>
      <c r="AP45" s="154"/>
      <c r="AQ45" s="154"/>
      <c r="AR45" s="154"/>
    </row>
    <row r="47" spans="1:44" ht="17.399999999999999" customHeight="1" x14ac:dyDescent="0.35">
      <c r="A47" s="189" t="s">
        <v>1475</v>
      </c>
      <c r="B47" s="190"/>
      <c r="C47" s="190"/>
      <c r="D47" s="190"/>
      <c r="E47" s="190"/>
      <c r="F47" s="190"/>
      <c r="G47" s="190"/>
      <c r="H47" s="190"/>
      <c r="I47" s="190"/>
      <c r="J47" s="190"/>
      <c r="K47" s="190"/>
      <c r="L47" s="190"/>
      <c r="M47" s="190"/>
      <c r="N47" s="190"/>
      <c r="O47" s="190"/>
      <c r="P47" s="190"/>
      <c r="Q47" s="190"/>
      <c r="S47" s="191" t="s">
        <v>1476</v>
      </c>
      <c r="T47" s="191"/>
      <c r="U47" s="191"/>
      <c r="V47" s="191"/>
      <c r="W47" s="191"/>
      <c r="X47" s="191"/>
      <c r="Y47" s="191"/>
      <c r="Z47" s="191"/>
      <c r="AA47" s="191"/>
      <c r="AB47" s="191"/>
      <c r="AC47" s="191"/>
      <c r="AD47" s="191"/>
      <c r="AE47" s="191"/>
      <c r="AF47" s="191"/>
      <c r="AG47" s="191"/>
      <c r="AH47" s="191"/>
      <c r="AI47" s="191"/>
      <c r="AJ47" s="191"/>
    </row>
    <row r="48" spans="1:44" ht="35.5" thickBot="1" x14ac:dyDescent="0.4">
      <c r="A48" s="148" t="s">
        <v>1421</v>
      </c>
      <c r="B48" s="126" t="s">
        <v>1422</v>
      </c>
      <c r="C48" s="126" t="s">
        <v>1423</v>
      </c>
      <c r="D48" s="148" t="s">
        <v>1424</v>
      </c>
      <c r="E48" s="126" t="s">
        <v>1477</v>
      </c>
      <c r="F48" s="126" t="s">
        <v>1426</v>
      </c>
      <c r="G48" s="127" t="s">
        <v>1427</v>
      </c>
      <c r="H48" s="127"/>
      <c r="I48" s="127"/>
      <c r="J48" s="127"/>
      <c r="K48" s="127"/>
      <c r="L48" s="127"/>
      <c r="M48" s="127"/>
      <c r="Q48" s="126" t="s">
        <v>1428</v>
      </c>
      <c r="S48" s="191"/>
      <c r="T48" s="191"/>
      <c r="U48" s="191"/>
      <c r="V48" s="191"/>
      <c r="W48" s="191"/>
      <c r="X48" s="191"/>
      <c r="Y48" s="191"/>
      <c r="Z48" s="191"/>
      <c r="AA48" s="191"/>
      <c r="AB48" s="191"/>
      <c r="AC48" s="191"/>
      <c r="AD48" s="191"/>
      <c r="AE48" s="191"/>
      <c r="AF48" s="191"/>
      <c r="AG48" s="191"/>
      <c r="AH48" s="191"/>
      <c r="AI48" s="191"/>
      <c r="AJ48" s="191"/>
    </row>
    <row r="49" spans="1:36" ht="18.5" thickBot="1" x14ac:dyDescent="0.4">
      <c r="A49" s="132">
        <v>1</v>
      </c>
      <c r="B49" s="140" t="s">
        <v>1478</v>
      </c>
      <c r="C49" s="130" t="s">
        <v>1479</v>
      </c>
      <c r="D49" s="132">
        <v>1010</v>
      </c>
      <c r="E49" s="158">
        <v>187125</v>
      </c>
      <c r="F49" s="158">
        <f>D49*E49</f>
        <v>188996250</v>
      </c>
      <c r="G49" s="158">
        <v>9.98</v>
      </c>
      <c r="H49" s="158">
        <v>9.98</v>
      </c>
      <c r="I49" s="158">
        <v>9.98</v>
      </c>
      <c r="J49" s="158">
        <v>9.98</v>
      </c>
      <c r="K49" s="158">
        <v>9.98</v>
      </c>
      <c r="L49" s="158">
        <v>9.98</v>
      </c>
      <c r="M49" s="158">
        <v>9.98</v>
      </c>
      <c r="N49" s="158">
        <v>9.98</v>
      </c>
      <c r="O49" s="158">
        <v>9.98</v>
      </c>
      <c r="P49" s="158">
        <v>9.98</v>
      </c>
      <c r="Q49" s="158">
        <f>F49/375</f>
        <v>503990</v>
      </c>
      <c r="S49" s="191"/>
      <c r="T49" s="191"/>
      <c r="U49" s="191"/>
      <c r="V49" s="191"/>
      <c r="W49" s="191"/>
      <c r="X49" s="191"/>
      <c r="Y49" s="191"/>
      <c r="Z49" s="191"/>
      <c r="AA49" s="191"/>
      <c r="AB49" s="191"/>
      <c r="AC49" s="191"/>
      <c r="AD49" s="191"/>
      <c r="AE49" s="191"/>
      <c r="AF49" s="191"/>
      <c r="AG49" s="191"/>
      <c r="AH49" s="191"/>
      <c r="AI49" s="191"/>
      <c r="AJ49" s="191"/>
    </row>
    <row r="50" spans="1:36" ht="18.5" thickBot="1" x14ac:dyDescent="0.4">
      <c r="A50" s="132">
        <v>2</v>
      </c>
      <c r="B50" s="142" t="s">
        <v>1471</v>
      </c>
      <c r="C50" s="130"/>
      <c r="D50" s="132"/>
      <c r="E50" s="141"/>
      <c r="F50" s="127"/>
      <c r="G50" s="127"/>
      <c r="H50" s="127">
        <f>D50*G50</f>
        <v>0</v>
      </c>
      <c r="I50" s="127"/>
      <c r="J50" s="127"/>
      <c r="K50" s="127"/>
      <c r="L50" s="127"/>
      <c r="M50" s="127"/>
      <c r="Q50" s="159">
        <f>Q49*14.04%</f>
        <v>70760</v>
      </c>
      <c r="S50" s="191"/>
      <c r="T50" s="191"/>
      <c r="U50" s="191"/>
      <c r="V50" s="191"/>
      <c r="W50" s="191"/>
      <c r="X50" s="191"/>
      <c r="Y50" s="191"/>
      <c r="Z50" s="191"/>
      <c r="AA50" s="191"/>
      <c r="AB50" s="191"/>
      <c r="AC50" s="191"/>
      <c r="AD50" s="191"/>
      <c r="AE50" s="191"/>
      <c r="AF50" s="191"/>
      <c r="AG50" s="191"/>
      <c r="AH50" s="191"/>
      <c r="AI50" s="191"/>
      <c r="AJ50" s="191"/>
    </row>
    <row r="51" spans="1:36" ht="17.5" x14ac:dyDescent="0.35">
      <c r="B51" s="125" t="s">
        <v>1480</v>
      </c>
      <c r="Q51" s="159">
        <f>Q49+Q50</f>
        <v>574750</v>
      </c>
      <c r="S51" s="191"/>
      <c r="T51" s="191"/>
      <c r="U51" s="191"/>
      <c r="V51" s="191"/>
      <c r="W51" s="191"/>
      <c r="X51" s="191"/>
      <c r="Y51" s="191"/>
      <c r="Z51" s="191"/>
      <c r="AA51" s="191"/>
      <c r="AB51" s="191"/>
      <c r="AC51" s="191"/>
      <c r="AD51" s="191"/>
      <c r="AE51" s="191"/>
      <c r="AF51" s="191"/>
      <c r="AG51" s="191"/>
      <c r="AH51" s="191"/>
      <c r="AI51" s="191"/>
      <c r="AJ51" s="191"/>
    </row>
    <row r="52" spans="1:36" ht="14.4" customHeight="1" x14ac:dyDescent="0.35">
      <c r="S52" s="191"/>
      <c r="T52" s="191"/>
      <c r="U52" s="191"/>
      <c r="V52" s="191"/>
      <c r="W52" s="191"/>
      <c r="X52" s="191"/>
      <c r="Y52" s="191"/>
      <c r="Z52" s="191"/>
      <c r="AA52" s="191"/>
      <c r="AB52" s="191"/>
      <c r="AC52" s="191"/>
      <c r="AD52" s="191"/>
      <c r="AE52" s="191"/>
      <c r="AF52" s="191"/>
      <c r="AG52" s="191"/>
      <c r="AH52" s="191"/>
      <c r="AI52" s="191"/>
      <c r="AJ52" s="191"/>
    </row>
    <row r="53" spans="1:36" ht="17.5" x14ac:dyDescent="0.35">
      <c r="B53" s="145"/>
      <c r="Q53" s="160"/>
      <c r="S53" s="191"/>
      <c r="T53" s="191"/>
      <c r="U53" s="191"/>
      <c r="V53" s="191"/>
      <c r="W53" s="191"/>
      <c r="X53" s="191"/>
      <c r="Y53" s="191"/>
      <c r="Z53" s="191"/>
      <c r="AA53" s="191"/>
      <c r="AB53" s="191"/>
      <c r="AC53" s="191"/>
      <c r="AD53" s="191"/>
      <c r="AE53" s="191"/>
      <c r="AF53" s="191"/>
      <c r="AG53" s="191"/>
      <c r="AH53" s="191"/>
      <c r="AI53" s="191"/>
      <c r="AJ53" s="191"/>
    </row>
    <row r="54" spans="1:36" ht="14.4" customHeight="1" x14ac:dyDescent="0.35">
      <c r="S54" s="191"/>
      <c r="T54" s="191"/>
      <c r="U54" s="191"/>
      <c r="V54" s="191"/>
      <c r="W54" s="191"/>
      <c r="X54" s="191"/>
      <c r="Y54" s="191"/>
      <c r="Z54" s="191"/>
      <c r="AA54" s="191"/>
      <c r="AB54" s="191"/>
      <c r="AC54" s="191"/>
      <c r="AD54" s="191"/>
      <c r="AE54" s="191"/>
      <c r="AF54" s="191"/>
      <c r="AG54" s="191"/>
      <c r="AH54" s="191"/>
      <c r="AI54" s="191"/>
      <c r="AJ54" s="191"/>
    </row>
    <row r="55" spans="1:36" ht="14.4" customHeight="1" x14ac:dyDescent="0.35">
      <c r="S55" s="191"/>
      <c r="T55" s="191"/>
      <c r="U55" s="191"/>
      <c r="V55" s="191"/>
      <c r="W55" s="191"/>
      <c r="X55" s="191"/>
      <c r="Y55" s="191"/>
      <c r="Z55" s="191"/>
      <c r="AA55" s="191"/>
      <c r="AB55" s="191"/>
      <c r="AC55" s="191"/>
      <c r="AD55" s="191"/>
      <c r="AE55" s="191"/>
      <c r="AF55" s="191"/>
      <c r="AG55" s="191"/>
      <c r="AH55" s="191"/>
      <c r="AI55" s="191"/>
      <c r="AJ55" s="191"/>
    </row>
    <row r="56" spans="1:36" ht="14.4" customHeight="1" x14ac:dyDescent="0.35">
      <c r="S56" s="191"/>
      <c r="T56" s="191"/>
      <c r="U56" s="191"/>
      <c r="V56" s="191"/>
      <c r="W56" s="191"/>
      <c r="X56" s="191"/>
      <c r="Y56" s="191"/>
      <c r="Z56" s="191"/>
      <c r="AA56" s="191"/>
      <c r="AB56" s="191"/>
      <c r="AC56" s="191"/>
      <c r="AD56" s="191"/>
      <c r="AE56" s="191"/>
      <c r="AF56" s="191"/>
      <c r="AG56" s="191"/>
      <c r="AH56" s="191"/>
      <c r="AI56" s="191"/>
      <c r="AJ56" s="191"/>
    </row>
    <row r="57" spans="1:36" ht="14.4" customHeight="1" x14ac:dyDescent="0.35">
      <c r="S57" s="191"/>
      <c r="T57" s="191"/>
      <c r="U57" s="191"/>
      <c r="V57" s="191"/>
      <c r="W57" s="191"/>
      <c r="X57" s="191"/>
      <c r="Y57" s="191"/>
      <c r="Z57" s="191"/>
      <c r="AA57" s="191"/>
      <c r="AB57" s="191"/>
      <c r="AC57" s="191"/>
      <c r="AD57" s="191"/>
      <c r="AE57" s="191"/>
      <c r="AF57" s="191"/>
      <c r="AG57" s="191"/>
      <c r="AH57" s="191"/>
      <c r="AI57" s="191"/>
      <c r="AJ57" s="191"/>
    </row>
    <row r="58" spans="1:36" ht="14.4" customHeight="1" x14ac:dyDescent="0.35">
      <c r="S58" s="191"/>
      <c r="T58" s="191"/>
      <c r="U58" s="191"/>
      <c r="V58" s="191"/>
      <c r="W58" s="191"/>
      <c r="X58" s="191"/>
      <c r="Y58" s="191"/>
      <c r="Z58" s="191"/>
      <c r="AA58" s="191"/>
      <c r="AB58" s="191"/>
      <c r="AC58" s="191"/>
      <c r="AD58" s="191"/>
      <c r="AE58" s="191"/>
      <c r="AF58" s="191"/>
      <c r="AG58" s="191"/>
      <c r="AH58" s="191"/>
      <c r="AI58" s="191"/>
      <c r="AJ58" s="191"/>
    </row>
    <row r="59" spans="1:36" ht="14.4" customHeight="1" x14ac:dyDescent="0.35">
      <c r="S59" s="191"/>
      <c r="T59" s="191"/>
      <c r="U59" s="191"/>
      <c r="V59" s="191"/>
      <c r="W59" s="191"/>
      <c r="X59" s="191"/>
      <c r="Y59" s="191"/>
      <c r="Z59" s="191"/>
      <c r="AA59" s="191"/>
      <c r="AB59" s="191"/>
      <c r="AC59" s="191"/>
      <c r="AD59" s="191"/>
      <c r="AE59" s="191"/>
      <c r="AF59" s="191"/>
      <c r="AG59" s="191"/>
      <c r="AH59" s="191"/>
      <c r="AI59" s="191"/>
      <c r="AJ59" s="191"/>
    </row>
    <row r="60" spans="1:36" ht="14.4" customHeight="1" x14ac:dyDescent="0.35">
      <c r="S60" s="191"/>
      <c r="T60" s="191"/>
      <c r="U60" s="191"/>
      <c r="V60" s="191"/>
      <c r="W60" s="191"/>
      <c r="X60" s="191"/>
      <c r="Y60" s="191"/>
      <c r="Z60" s="191"/>
      <c r="AA60" s="191"/>
      <c r="AB60" s="191"/>
      <c r="AC60" s="191"/>
      <c r="AD60" s="191"/>
      <c r="AE60" s="191"/>
      <c r="AF60" s="191"/>
      <c r="AG60" s="191"/>
      <c r="AH60" s="191"/>
      <c r="AI60" s="191"/>
      <c r="AJ60" s="191"/>
    </row>
    <row r="61" spans="1:36" ht="14.4" customHeight="1" x14ac:dyDescent="0.35">
      <c r="S61" s="191"/>
      <c r="T61" s="191"/>
      <c r="U61" s="191"/>
      <c r="V61" s="191"/>
      <c r="W61" s="191"/>
      <c r="X61" s="191"/>
      <c r="Y61" s="191"/>
      <c r="Z61" s="191"/>
      <c r="AA61" s="191"/>
      <c r="AB61" s="191"/>
      <c r="AC61" s="191"/>
      <c r="AD61" s="191"/>
      <c r="AE61" s="191"/>
      <c r="AF61" s="191"/>
      <c r="AG61" s="191"/>
      <c r="AH61" s="191"/>
      <c r="AI61" s="191"/>
      <c r="AJ61" s="191"/>
    </row>
    <row r="62" spans="1:36" ht="14.4" customHeight="1" x14ac:dyDescent="0.35">
      <c r="S62" s="191"/>
      <c r="T62" s="191"/>
      <c r="U62" s="191"/>
      <c r="V62" s="191"/>
      <c r="W62" s="191"/>
      <c r="X62" s="191"/>
      <c r="Y62" s="191"/>
      <c r="Z62" s="191"/>
      <c r="AA62" s="191"/>
      <c r="AB62" s="191"/>
      <c r="AC62" s="191"/>
      <c r="AD62" s="191"/>
      <c r="AE62" s="191"/>
      <c r="AF62" s="191"/>
      <c r="AG62" s="191"/>
      <c r="AH62" s="191"/>
      <c r="AI62" s="191"/>
      <c r="AJ62" s="191"/>
    </row>
    <row r="63" spans="1:36" ht="14.4" customHeight="1" x14ac:dyDescent="0.35">
      <c r="S63" s="191"/>
      <c r="T63" s="191"/>
      <c r="U63" s="191"/>
      <c r="V63" s="191"/>
      <c r="W63" s="191"/>
      <c r="X63" s="191"/>
      <c r="Y63" s="191"/>
      <c r="Z63" s="191"/>
      <c r="AA63" s="191"/>
      <c r="AB63" s="191"/>
      <c r="AC63" s="191"/>
      <c r="AD63" s="191"/>
      <c r="AE63" s="191"/>
      <c r="AF63" s="191"/>
      <c r="AG63" s="191"/>
      <c r="AH63" s="191"/>
      <c r="AI63" s="191"/>
      <c r="AJ63" s="191"/>
    </row>
    <row r="64" spans="1:36" ht="14.4" customHeight="1" x14ac:dyDescent="0.35">
      <c r="S64" s="191"/>
      <c r="T64" s="191"/>
      <c r="U64" s="191"/>
      <c r="V64" s="191"/>
      <c r="W64" s="191"/>
      <c r="X64" s="191"/>
      <c r="Y64" s="191"/>
      <c r="Z64" s="191"/>
      <c r="AA64" s="191"/>
      <c r="AB64" s="191"/>
      <c r="AC64" s="191"/>
      <c r="AD64" s="191"/>
      <c r="AE64" s="191"/>
      <c r="AF64" s="191"/>
      <c r="AG64" s="191"/>
      <c r="AH64" s="191"/>
      <c r="AI64" s="191"/>
      <c r="AJ64" s="191"/>
    </row>
    <row r="65" spans="1:36" ht="14.4" customHeight="1" x14ac:dyDescent="0.35">
      <c r="S65" s="191"/>
      <c r="T65" s="191"/>
      <c r="U65" s="191"/>
      <c r="V65" s="191"/>
      <c r="W65" s="191"/>
      <c r="X65" s="191"/>
      <c r="Y65" s="191"/>
      <c r="Z65" s="191"/>
      <c r="AA65" s="191"/>
      <c r="AB65" s="191"/>
      <c r="AC65" s="191"/>
      <c r="AD65" s="191"/>
      <c r="AE65" s="191"/>
      <c r="AF65" s="191"/>
      <c r="AG65" s="191"/>
      <c r="AH65" s="191"/>
      <c r="AI65" s="191"/>
      <c r="AJ65" s="191"/>
    </row>
    <row r="66" spans="1:36" ht="14.4" customHeight="1" x14ac:dyDescent="0.35">
      <c r="S66" s="191"/>
      <c r="T66" s="191"/>
      <c r="U66" s="191"/>
      <c r="V66" s="191"/>
      <c r="W66" s="191"/>
      <c r="X66" s="191"/>
      <c r="Y66" s="191"/>
      <c r="Z66" s="191"/>
      <c r="AA66" s="191"/>
      <c r="AB66" s="191"/>
      <c r="AC66" s="191"/>
      <c r="AD66" s="191"/>
      <c r="AE66" s="191"/>
      <c r="AF66" s="191"/>
      <c r="AG66" s="191"/>
      <c r="AH66" s="191"/>
      <c r="AI66" s="191"/>
      <c r="AJ66" s="191"/>
    </row>
    <row r="67" spans="1:36" ht="14.4" customHeight="1" x14ac:dyDescent="0.35">
      <c r="S67" s="191"/>
      <c r="T67" s="191"/>
      <c r="U67" s="191"/>
      <c r="V67" s="191"/>
      <c r="W67" s="191"/>
      <c r="X67" s="191"/>
      <c r="Y67" s="191"/>
      <c r="Z67" s="191"/>
      <c r="AA67" s="191"/>
      <c r="AB67" s="191"/>
      <c r="AC67" s="191"/>
      <c r="AD67" s="191"/>
      <c r="AE67" s="191"/>
      <c r="AF67" s="191"/>
      <c r="AG67" s="191"/>
      <c r="AH67" s="191"/>
      <c r="AI67" s="191"/>
      <c r="AJ67" s="191"/>
    </row>
    <row r="68" spans="1:36" ht="14.4" customHeight="1" x14ac:dyDescent="0.35">
      <c r="S68" s="191"/>
      <c r="T68" s="191"/>
      <c r="U68" s="191"/>
      <c r="V68" s="191"/>
      <c r="W68" s="191"/>
      <c r="X68" s="191"/>
      <c r="Y68" s="191"/>
      <c r="Z68" s="191"/>
      <c r="AA68" s="191"/>
      <c r="AB68" s="191"/>
      <c r="AC68" s="191"/>
      <c r="AD68" s="191"/>
      <c r="AE68" s="191"/>
      <c r="AF68" s="191"/>
      <c r="AG68" s="191"/>
      <c r="AH68" s="191"/>
      <c r="AI68" s="191"/>
      <c r="AJ68" s="191"/>
    </row>
    <row r="69" spans="1:36" ht="14.4" customHeight="1" x14ac:dyDescent="0.35">
      <c r="S69" s="191"/>
      <c r="T69" s="191"/>
      <c r="U69" s="191"/>
      <c r="V69" s="191"/>
      <c r="W69" s="191"/>
      <c r="X69" s="191"/>
      <c r="Y69" s="191"/>
      <c r="Z69" s="191"/>
      <c r="AA69" s="191"/>
      <c r="AB69" s="191"/>
      <c r="AC69" s="191"/>
      <c r="AD69" s="191"/>
      <c r="AE69" s="191"/>
      <c r="AF69" s="191"/>
      <c r="AG69" s="191"/>
      <c r="AH69" s="191"/>
      <c r="AI69" s="191"/>
      <c r="AJ69" s="191"/>
    </row>
    <row r="70" spans="1:36" ht="14.4" customHeight="1" x14ac:dyDescent="0.35">
      <c r="S70" s="161"/>
      <c r="T70" s="161"/>
      <c r="U70" s="161"/>
      <c r="V70" s="161"/>
      <c r="W70" s="161"/>
      <c r="X70" s="161"/>
      <c r="Y70" s="161"/>
      <c r="Z70" s="161"/>
      <c r="AA70" s="161"/>
      <c r="AB70" s="161"/>
      <c r="AC70" s="161"/>
      <c r="AD70" s="161"/>
      <c r="AE70" s="161"/>
      <c r="AF70" s="161"/>
      <c r="AG70" s="161"/>
      <c r="AH70" s="161"/>
      <c r="AI70" s="161"/>
      <c r="AJ70" s="161"/>
    </row>
    <row r="71" spans="1:36" ht="17.5" x14ac:dyDescent="0.35">
      <c r="A71" s="189" t="s">
        <v>1481</v>
      </c>
      <c r="B71" s="192"/>
      <c r="C71" s="192"/>
      <c r="D71" s="192"/>
      <c r="E71" s="192"/>
      <c r="F71" s="192"/>
      <c r="G71" s="192"/>
      <c r="H71" s="192"/>
      <c r="I71" s="192"/>
      <c r="J71" s="192"/>
      <c r="K71" s="192"/>
      <c r="L71" s="192"/>
      <c r="M71" s="192"/>
      <c r="N71" s="192"/>
      <c r="O71" s="192"/>
      <c r="P71" s="192"/>
      <c r="Q71" s="192"/>
      <c r="S71" s="161"/>
      <c r="T71" s="161"/>
      <c r="U71" s="161"/>
      <c r="V71" s="161"/>
      <c r="W71" s="161"/>
      <c r="X71" s="161"/>
      <c r="Y71" s="161"/>
      <c r="Z71" s="161"/>
      <c r="AA71" s="161"/>
      <c r="AB71" s="161"/>
      <c r="AC71" s="161"/>
      <c r="AD71" s="161"/>
      <c r="AE71" s="161"/>
      <c r="AF71" s="161"/>
      <c r="AG71" s="161"/>
      <c r="AH71" s="161"/>
      <c r="AI71" s="161"/>
      <c r="AJ71" s="161"/>
    </row>
    <row r="72" spans="1:36" ht="35.4" customHeight="1" thickBot="1" x14ac:dyDescent="0.4">
      <c r="A72" s="148" t="s">
        <v>1421</v>
      </c>
      <c r="B72" s="126" t="s">
        <v>1422</v>
      </c>
      <c r="C72" s="126" t="s">
        <v>1423</v>
      </c>
      <c r="D72" s="148" t="s">
        <v>1424</v>
      </c>
      <c r="E72" s="126" t="s">
        <v>1477</v>
      </c>
      <c r="F72" s="126" t="s">
        <v>1426</v>
      </c>
      <c r="G72" s="127" t="s">
        <v>1427</v>
      </c>
      <c r="H72" s="127"/>
      <c r="I72" s="127"/>
      <c r="J72" s="127"/>
      <c r="K72" s="127"/>
      <c r="L72" s="127"/>
      <c r="M72" s="127"/>
      <c r="Q72" s="126" t="s">
        <v>1428</v>
      </c>
      <c r="S72" s="191" t="s">
        <v>1482</v>
      </c>
      <c r="T72" s="191"/>
      <c r="U72" s="191"/>
      <c r="V72" s="191"/>
      <c r="W72" s="191"/>
      <c r="X72" s="191"/>
      <c r="Y72" s="191"/>
      <c r="Z72" s="191"/>
      <c r="AA72" s="191"/>
      <c r="AB72" s="191"/>
      <c r="AC72" s="191"/>
      <c r="AD72" s="191"/>
      <c r="AE72" s="191"/>
      <c r="AF72" s="191"/>
      <c r="AG72" s="191"/>
      <c r="AH72" s="191"/>
      <c r="AI72" s="191"/>
      <c r="AJ72" s="191"/>
    </row>
    <row r="73" spans="1:36" ht="18.5" thickBot="1" x14ac:dyDescent="0.4">
      <c r="A73" s="132">
        <v>1</v>
      </c>
      <c r="B73" s="140" t="s">
        <v>1483</v>
      </c>
      <c r="C73" s="130" t="s">
        <v>1484</v>
      </c>
      <c r="D73" s="132">
        <v>500</v>
      </c>
      <c r="E73" s="158">
        <v>74250</v>
      </c>
      <c r="F73" s="158">
        <f>D73*E73</f>
        <v>37125000</v>
      </c>
      <c r="G73" s="158">
        <v>9.98</v>
      </c>
      <c r="H73" s="158">
        <v>9.98</v>
      </c>
      <c r="I73" s="158">
        <v>9.98</v>
      </c>
      <c r="J73" s="158">
        <v>9.98</v>
      </c>
      <c r="K73" s="158">
        <v>9.98</v>
      </c>
      <c r="L73" s="158">
        <v>9.98</v>
      </c>
      <c r="M73" s="158">
        <v>9.98</v>
      </c>
      <c r="N73" s="158">
        <v>9.98</v>
      </c>
      <c r="O73" s="158">
        <v>9.98</v>
      </c>
      <c r="P73" s="158">
        <v>9.98</v>
      </c>
      <c r="Q73" s="158">
        <f>F73/375</f>
        <v>99000</v>
      </c>
      <c r="S73" s="191"/>
      <c r="T73" s="191"/>
      <c r="U73" s="191"/>
      <c r="V73" s="191"/>
      <c r="W73" s="191"/>
      <c r="X73" s="191"/>
      <c r="Y73" s="191"/>
      <c r="Z73" s="191"/>
      <c r="AA73" s="191"/>
      <c r="AB73" s="191"/>
      <c r="AC73" s="191"/>
      <c r="AD73" s="191"/>
      <c r="AE73" s="191"/>
      <c r="AF73" s="191"/>
      <c r="AG73" s="191"/>
      <c r="AH73" s="191"/>
      <c r="AI73" s="191"/>
      <c r="AJ73" s="191"/>
    </row>
    <row r="74" spans="1:36" ht="18.5" thickBot="1" x14ac:dyDescent="0.4">
      <c r="A74" s="132">
        <v>2</v>
      </c>
      <c r="B74" s="142" t="s">
        <v>1471</v>
      </c>
      <c r="C74" s="130"/>
      <c r="D74" s="132"/>
      <c r="E74" s="141"/>
      <c r="F74" s="127"/>
      <c r="G74" s="127"/>
      <c r="H74" s="127">
        <f>D74*G74</f>
        <v>0</v>
      </c>
      <c r="I74" s="127"/>
      <c r="J74" s="127"/>
      <c r="K74" s="127"/>
      <c r="L74" s="127"/>
      <c r="M74" s="127"/>
      <c r="Q74" s="159">
        <f>Q73*14.04%</f>
        <v>13900</v>
      </c>
      <c r="S74" s="191"/>
      <c r="T74" s="191"/>
      <c r="U74" s="191"/>
      <c r="V74" s="191"/>
      <c r="W74" s="191"/>
      <c r="X74" s="191"/>
      <c r="Y74" s="191"/>
      <c r="Z74" s="191"/>
      <c r="AA74" s="191"/>
      <c r="AB74" s="191"/>
      <c r="AC74" s="191"/>
      <c r="AD74" s="191"/>
      <c r="AE74" s="191"/>
      <c r="AF74" s="191"/>
      <c r="AG74" s="191"/>
      <c r="AH74" s="191"/>
      <c r="AI74" s="191"/>
      <c r="AJ74" s="191"/>
    </row>
    <row r="75" spans="1:36" ht="17.5" x14ac:dyDescent="0.35">
      <c r="B75" s="153" t="s">
        <v>1480</v>
      </c>
      <c r="Q75" s="159">
        <f>Q73+Q74</f>
        <v>112900</v>
      </c>
      <c r="S75" s="191"/>
      <c r="T75" s="191"/>
      <c r="U75" s="191"/>
      <c r="V75" s="191"/>
      <c r="W75" s="191"/>
      <c r="X75" s="191"/>
      <c r="Y75" s="191"/>
      <c r="Z75" s="191"/>
      <c r="AA75" s="191"/>
      <c r="AB75" s="191"/>
      <c r="AC75" s="191"/>
      <c r="AD75" s="191"/>
      <c r="AE75" s="191"/>
      <c r="AF75" s="191"/>
      <c r="AG75" s="191"/>
      <c r="AH75" s="191"/>
      <c r="AI75" s="191"/>
      <c r="AJ75" s="191"/>
    </row>
    <row r="76" spans="1:36" x14ac:dyDescent="0.35">
      <c r="S76" s="191"/>
      <c r="T76" s="191"/>
      <c r="U76" s="191"/>
      <c r="V76" s="191"/>
      <c r="W76" s="191"/>
      <c r="X76" s="191"/>
      <c r="Y76" s="191"/>
      <c r="Z76" s="191"/>
      <c r="AA76" s="191"/>
      <c r="AB76" s="191"/>
      <c r="AC76" s="191"/>
      <c r="AD76" s="191"/>
      <c r="AE76" s="191"/>
      <c r="AF76" s="191"/>
      <c r="AG76" s="191"/>
      <c r="AH76" s="191"/>
      <c r="AI76" s="191"/>
      <c r="AJ76" s="191"/>
    </row>
    <row r="77" spans="1:36" x14ac:dyDescent="0.35">
      <c r="S77" s="191"/>
      <c r="T77" s="191"/>
      <c r="U77" s="191"/>
      <c r="V77" s="191"/>
      <c r="W77" s="191"/>
      <c r="X77" s="191"/>
      <c r="Y77" s="191"/>
      <c r="Z77" s="191"/>
      <c r="AA77" s="191"/>
      <c r="AB77" s="191"/>
      <c r="AC77" s="191"/>
      <c r="AD77" s="191"/>
      <c r="AE77" s="191"/>
      <c r="AF77" s="191"/>
      <c r="AG77" s="191"/>
      <c r="AH77" s="191"/>
      <c r="AI77" s="191"/>
      <c r="AJ77" s="191"/>
    </row>
    <row r="78" spans="1:36" x14ac:dyDescent="0.35">
      <c r="S78" s="191"/>
      <c r="T78" s="191"/>
      <c r="U78" s="191"/>
      <c r="V78" s="191"/>
      <c r="W78" s="191"/>
      <c r="X78" s="191"/>
      <c r="Y78" s="191"/>
      <c r="Z78" s="191"/>
      <c r="AA78" s="191"/>
      <c r="AB78" s="191"/>
      <c r="AC78" s="191"/>
      <c r="AD78" s="191"/>
      <c r="AE78" s="191"/>
      <c r="AF78" s="191"/>
      <c r="AG78" s="191"/>
      <c r="AH78" s="191"/>
      <c r="AI78" s="191"/>
      <c r="AJ78" s="191"/>
    </row>
    <row r="79" spans="1:36" ht="17.5" x14ac:dyDescent="0.35">
      <c r="B79" s="145" t="s">
        <v>1485</v>
      </c>
      <c r="Q79" s="162">
        <f>Q31+Q45+Q51+Q75</f>
        <v>1374194</v>
      </c>
      <c r="S79" s="191"/>
      <c r="T79" s="191"/>
      <c r="U79" s="191"/>
      <c r="V79" s="191"/>
      <c r="W79" s="191"/>
      <c r="X79" s="191"/>
      <c r="Y79" s="191"/>
      <c r="Z79" s="191"/>
      <c r="AA79" s="191"/>
      <c r="AB79" s="191"/>
      <c r="AC79" s="191"/>
      <c r="AD79" s="191"/>
      <c r="AE79" s="191"/>
      <c r="AF79" s="191"/>
      <c r="AG79" s="191"/>
      <c r="AH79" s="191"/>
      <c r="AI79" s="191"/>
      <c r="AJ79" s="191"/>
    </row>
  </sheetData>
  <mergeCells count="13">
    <mergeCell ref="S72:AJ79"/>
    <mergeCell ref="A1:F1"/>
    <mergeCell ref="S2:AJ31"/>
    <mergeCell ref="A3:D3"/>
    <mergeCell ref="A10:D10"/>
    <mergeCell ref="A12:D12"/>
    <mergeCell ref="A14:D14"/>
    <mergeCell ref="A24:E24"/>
    <mergeCell ref="A34:F34"/>
    <mergeCell ref="S35:AJ45"/>
    <mergeCell ref="A47:Q47"/>
    <mergeCell ref="S47:AJ69"/>
    <mergeCell ref="A71:Q71"/>
  </mergeCells>
  <pageMargins left="0.7" right="0.7" top="0.75" bottom="0.75" header="0.3" footer="0.3"/>
  <pageSetup paperSize="9" scale="1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G26"/>
  <sheetViews>
    <sheetView zoomScale="60" zoomScaleNormal="60" workbookViewId="0">
      <selection activeCell="D3" sqref="D3"/>
    </sheetView>
  </sheetViews>
  <sheetFormatPr defaultRowHeight="14.5" x14ac:dyDescent="0.35"/>
  <cols>
    <col min="1" max="1" width="31.08984375" customWidth="1"/>
    <col min="2" max="2" width="30.90625" customWidth="1"/>
    <col min="3" max="3" width="19.08984375" customWidth="1"/>
    <col min="4" max="4" width="35.90625" customWidth="1"/>
    <col min="5" max="5" width="86.81640625" customWidth="1"/>
    <col min="6" max="6" width="23.90625" customWidth="1"/>
    <col min="7" max="7" width="19.90625" customWidth="1"/>
  </cols>
  <sheetData>
    <row r="2" spans="1:7" ht="72" customHeight="1" x14ac:dyDescent="0.35">
      <c r="A2" s="64" t="str">
        <f>IFERROR(VLOOKUP('PAAR UPDATE'!$B$10,Translation[],36,0),"")</f>
        <v>Previously approved UQD (grant currency)</v>
      </c>
      <c r="B2" s="114">
        <f>SUM($F$10:F114)</f>
        <v>1836144</v>
      </c>
    </row>
    <row r="3" spans="1:7" ht="61.4" customHeight="1" x14ac:dyDescent="0.35">
      <c r="A3" s="64" t="str">
        <f>IFERROR(VLOOKUP('PAAR UPDATE'!$B$10,Translation[],37,0),"")</f>
        <v>Remaining UQD (grant currency)</v>
      </c>
      <c r="B3" s="114">
        <f>SUM($G$10:G115)</f>
        <v>1836144</v>
      </c>
    </row>
    <row r="5" spans="1:7" x14ac:dyDescent="0.35">
      <c r="A5" s="49"/>
    </row>
    <row r="6" spans="1:7" ht="13.65" customHeight="1" x14ac:dyDescent="0.35"/>
    <row r="7" spans="1:7" hidden="1" x14ac:dyDescent="0.35"/>
    <row r="8" spans="1:7" ht="105" customHeight="1" x14ac:dyDescent="0.35">
      <c r="A8" s="64" t="s">
        <v>834</v>
      </c>
      <c r="B8" s="64" t="str">
        <f>IFERROR(VLOOKUP('PAAR UPDATE'!$B$10,Translation[],38,0),"")</f>
        <v>Status</v>
      </c>
      <c r="C8" s="64" t="str">
        <f>IFERROR(VLOOKUP('PAAR UPDATE'!$B$10,Translation[],16,0),"")</f>
        <v>Module</v>
      </c>
      <c r="D8" s="64" t="str">
        <f>IFERROR(VLOOKUP('PAAR UPDATE'!$B$10,Translation[],17,0),"")</f>
        <v xml:space="preserve">Intervention </v>
      </c>
      <c r="E8" s="64" t="str">
        <f>IFERROR(VLOOKUP('PAAR UPDATE'!$B$10,Translation[],41,0),"")</f>
        <v>Brief Rationale</v>
      </c>
      <c r="F8" s="64" t="str">
        <f>IFERROR(VLOOKUP('PAAR UPDATE'!$B$10,Translation[],39,0),"")</f>
        <v>TRP-approved amount (grant currency)</v>
      </c>
      <c r="G8" s="64" t="str">
        <f>IFERROR(VLOOKUP('PAAR UPDATE'!$B$10,Translation[],40,0),"")</f>
        <v>Remaining UQD (grant currency)</v>
      </c>
    </row>
    <row r="9" spans="1:7" ht="13.4" hidden="1" customHeight="1" x14ac:dyDescent="0.35">
      <c r="A9" s="59" t="s">
        <v>853</v>
      </c>
      <c r="B9" s="59" t="s">
        <v>827</v>
      </c>
      <c r="C9" s="59" t="s">
        <v>765</v>
      </c>
      <c r="D9" s="59" t="s">
        <v>765</v>
      </c>
      <c r="E9" s="59" t="s">
        <v>793</v>
      </c>
      <c r="F9" s="59" t="s">
        <v>858</v>
      </c>
      <c r="G9" s="59" t="s">
        <v>856</v>
      </c>
    </row>
    <row r="10" spans="1:7" hidden="1" x14ac:dyDescent="0.35">
      <c r="A10" s="59" t="s">
        <v>852</v>
      </c>
      <c r="B10" s="58" t="s">
        <v>845</v>
      </c>
      <c r="C10" s="58" t="s">
        <v>776</v>
      </c>
      <c r="D10" s="58" t="s">
        <v>776</v>
      </c>
      <c r="E10" s="58" t="s">
        <v>854</v>
      </c>
      <c r="F10" s="123" t="s">
        <v>857</v>
      </c>
      <c r="G10" s="123" t="s">
        <v>855</v>
      </c>
    </row>
    <row r="11" spans="1:7" ht="174" x14ac:dyDescent="0.35">
      <c r="A11" s="59" t="s">
        <v>1132</v>
      </c>
      <c r="B11" s="58" t="s">
        <v>828</v>
      </c>
      <c r="C11" s="58" t="s">
        <v>145</v>
      </c>
      <c r="D11" s="58" t="s">
        <v>1393</v>
      </c>
      <c r="E11" s="124" t="s">
        <v>1394</v>
      </c>
      <c r="F11" s="123">
        <v>312500</v>
      </c>
      <c r="G11" s="123">
        <v>312500</v>
      </c>
    </row>
    <row r="12" spans="1:7" ht="116" x14ac:dyDescent="0.35">
      <c r="A12" s="59" t="s">
        <v>1132</v>
      </c>
      <c r="B12" s="58" t="s">
        <v>828</v>
      </c>
      <c r="C12" s="58" t="s">
        <v>1395</v>
      </c>
      <c r="D12" s="58" t="s">
        <v>1396</v>
      </c>
      <c r="E12" s="124" t="s">
        <v>1397</v>
      </c>
      <c r="F12" s="123">
        <v>30144</v>
      </c>
      <c r="G12" s="123">
        <v>30144</v>
      </c>
    </row>
    <row r="13" spans="1:7" ht="159.5" x14ac:dyDescent="0.35">
      <c r="A13" s="59" t="s">
        <v>1132</v>
      </c>
      <c r="B13" s="58" t="s">
        <v>828</v>
      </c>
      <c r="C13" s="58" t="s">
        <v>432</v>
      </c>
      <c r="D13" s="58" t="s">
        <v>1398</v>
      </c>
      <c r="E13" s="124" t="s">
        <v>1399</v>
      </c>
      <c r="F13" s="123">
        <v>147200</v>
      </c>
      <c r="G13" s="123">
        <v>147200</v>
      </c>
    </row>
    <row r="14" spans="1:7" ht="58" x14ac:dyDescent="0.35">
      <c r="A14" s="59" t="s">
        <v>1132</v>
      </c>
      <c r="B14" s="58" t="s">
        <v>828</v>
      </c>
      <c r="C14" s="58" t="s">
        <v>432</v>
      </c>
      <c r="D14" s="58" t="s">
        <v>1400</v>
      </c>
      <c r="E14" s="124" t="s">
        <v>1401</v>
      </c>
      <c r="F14" s="123">
        <v>72000</v>
      </c>
      <c r="G14" s="123">
        <v>72000</v>
      </c>
    </row>
    <row r="15" spans="1:7" ht="58" x14ac:dyDescent="0.35">
      <c r="A15" s="59" t="s">
        <v>1132</v>
      </c>
      <c r="B15" s="58" t="s">
        <v>828</v>
      </c>
      <c r="C15" s="58" t="s">
        <v>1402</v>
      </c>
      <c r="D15" s="58" t="s">
        <v>1403</v>
      </c>
      <c r="E15" s="124" t="s">
        <v>1404</v>
      </c>
      <c r="F15" s="123">
        <v>61000</v>
      </c>
      <c r="G15" s="123">
        <v>61000</v>
      </c>
    </row>
    <row r="16" spans="1:7" ht="163.75" customHeight="1" x14ac:dyDescent="0.35">
      <c r="A16" s="59" t="s">
        <v>1132</v>
      </c>
      <c r="B16" s="58" t="s">
        <v>828</v>
      </c>
      <c r="C16" s="58" t="s">
        <v>1405</v>
      </c>
      <c r="D16" s="58" t="s">
        <v>648</v>
      </c>
      <c r="E16" s="124" t="s">
        <v>1406</v>
      </c>
      <c r="F16" s="123">
        <v>450000</v>
      </c>
      <c r="G16" s="123">
        <v>450000</v>
      </c>
    </row>
    <row r="17" spans="1:7" ht="87" x14ac:dyDescent="0.35">
      <c r="A17" s="59" t="s">
        <v>1132</v>
      </c>
      <c r="B17" s="58" t="s">
        <v>828</v>
      </c>
      <c r="C17" s="58" t="s">
        <v>432</v>
      </c>
      <c r="D17" s="58" t="s">
        <v>1407</v>
      </c>
      <c r="E17" s="124" t="s">
        <v>1408</v>
      </c>
      <c r="F17" s="123">
        <v>300000</v>
      </c>
      <c r="G17" s="123">
        <v>300000</v>
      </c>
    </row>
    <row r="18" spans="1:7" ht="58" x14ac:dyDescent="0.35">
      <c r="A18" s="59" t="s">
        <v>1132</v>
      </c>
      <c r="B18" s="58" t="s">
        <v>828</v>
      </c>
      <c r="C18" s="58" t="s">
        <v>145</v>
      </c>
      <c r="D18" s="58" t="s">
        <v>1409</v>
      </c>
      <c r="E18" s="124" t="s">
        <v>1410</v>
      </c>
      <c r="F18" s="123">
        <v>56000</v>
      </c>
      <c r="G18" s="123">
        <v>56000</v>
      </c>
    </row>
    <row r="19" spans="1:7" ht="43.5" x14ac:dyDescent="0.35">
      <c r="A19" s="59" t="s">
        <v>1132</v>
      </c>
      <c r="B19" s="58" t="s">
        <v>828</v>
      </c>
      <c r="C19" s="58" t="s">
        <v>432</v>
      </c>
      <c r="D19" s="58" t="s">
        <v>1400</v>
      </c>
      <c r="E19" s="124" t="s">
        <v>1411</v>
      </c>
      <c r="F19" s="123">
        <v>50000</v>
      </c>
      <c r="G19" s="123">
        <v>50000</v>
      </c>
    </row>
    <row r="20" spans="1:7" ht="101.5" x14ac:dyDescent="0.35">
      <c r="A20" s="59" t="s">
        <v>1132</v>
      </c>
      <c r="B20" s="58" t="s">
        <v>828</v>
      </c>
      <c r="C20" s="58" t="s">
        <v>1405</v>
      </c>
      <c r="D20" s="58" t="s">
        <v>648</v>
      </c>
      <c r="E20" s="124" t="s">
        <v>1412</v>
      </c>
      <c r="F20" s="123">
        <v>183300</v>
      </c>
      <c r="G20" s="123">
        <v>183300</v>
      </c>
    </row>
    <row r="21" spans="1:7" ht="43.5" x14ac:dyDescent="0.35">
      <c r="A21" s="59" t="s">
        <v>1132</v>
      </c>
      <c r="B21" s="58" t="s">
        <v>828</v>
      </c>
      <c r="C21" s="58" t="s">
        <v>152</v>
      </c>
      <c r="D21" s="58" t="s">
        <v>1413</v>
      </c>
      <c r="E21" s="124" t="s">
        <v>1414</v>
      </c>
      <c r="F21" s="123">
        <v>31000</v>
      </c>
      <c r="G21" s="123">
        <v>31000</v>
      </c>
    </row>
    <row r="22" spans="1:7" ht="29" x14ac:dyDescent="0.35">
      <c r="A22" s="59" t="s">
        <v>1132</v>
      </c>
      <c r="B22" s="58" t="s">
        <v>828</v>
      </c>
      <c r="C22" s="58" t="s">
        <v>1405</v>
      </c>
      <c r="D22" s="58" t="s">
        <v>648</v>
      </c>
      <c r="E22" s="124" t="s">
        <v>1415</v>
      </c>
      <c r="F22" s="123">
        <v>23000</v>
      </c>
      <c r="G22" s="123">
        <v>23000</v>
      </c>
    </row>
    <row r="23" spans="1:7" ht="58" x14ac:dyDescent="0.35">
      <c r="A23" s="59" t="s">
        <v>1132</v>
      </c>
      <c r="B23" s="58" t="s">
        <v>828</v>
      </c>
      <c r="C23" s="58" t="s">
        <v>1402</v>
      </c>
      <c r="D23" s="58" t="s">
        <v>1416</v>
      </c>
      <c r="E23" s="124" t="s">
        <v>1417</v>
      </c>
      <c r="F23" s="123">
        <v>20000</v>
      </c>
      <c r="G23" s="123">
        <v>20000</v>
      </c>
    </row>
    <row r="24" spans="1:7" ht="116" x14ac:dyDescent="0.35">
      <c r="A24" s="59" t="s">
        <v>1132</v>
      </c>
      <c r="B24" s="58" t="s">
        <v>828</v>
      </c>
      <c r="C24" s="58" t="s">
        <v>432</v>
      </c>
      <c r="D24" s="58" t="s">
        <v>1418</v>
      </c>
      <c r="E24" s="124" t="s">
        <v>1419</v>
      </c>
      <c r="F24" s="123">
        <v>100000</v>
      </c>
      <c r="G24" s="123">
        <v>100000</v>
      </c>
    </row>
    <row r="25" spans="1:7" ht="15" customHeight="1" x14ac:dyDescent="0.35">
      <c r="A25" s="65"/>
      <c r="B25" s="65"/>
      <c r="C25" s="65"/>
      <c r="D25" s="65"/>
      <c r="E25" s="65"/>
      <c r="F25" s="66"/>
      <c r="G25" s="66"/>
    </row>
    <row r="26" spans="1:7" ht="12" customHeight="1" x14ac:dyDescent="0.35">
      <c r="A26" s="65"/>
      <c r="B26" s="65"/>
      <c r="C26" s="65"/>
      <c r="D26" s="65"/>
      <c r="E26" s="65"/>
      <c r="F26" s="66"/>
      <c r="G26" s="66"/>
    </row>
  </sheetData>
  <dataValidations count="3">
    <dataValidation type="list" allowBlank="1" showInputMessage="1" showErrorMessage="1" errorTitle="X-Author for Excel" error="Please select a value from the drop-down." promptTitle="X-Author for Excel" sqref="B10:B24">
      <formula1>IF(IFERROR(ROWS(INDIRECT(SUBSTITUTE("L1FR_PAAR_UQD_Intervention__c.L1FR_Status__c"," ","_"))),-1) &lt; 0, XAuthorInvalidPicklistData,INDIRECT(SUBSTITUTE("L1FR_PAAR_UQD_Intervention__c.L1FR_Status__c"," ","_")))</formula1>
    </dataValidation>
    <dataValidation type="decimal" allowBlank="1" showInputMessage="1" showErrorMessage="1" errorTitle="X-Author for Excel" error="Please enter a valid numeric value. Valid range for TRP Approved is -1E+16 to 1E+16." promptTitle="X-Author for Excel" sqref="F10:F24">
      <formula1>-10000000000000000</formula1>
      <formula2>10000000000000000</formula2>
    </dataValidation>
    <dataValidation type="decimal" allowBlank="1" showInputMessage="1" showErrorMessage="1" errorTitle="X-Author for Excel" error="Please enter a valid numeric value. Valid range for Remaining UQD is -1E+16 to 1E+16." promptTitle="X-Author for Excel" sqref="G10:G24">
      <formula1>-10000000000000000</formula1>
      <formula2>10000000000000000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B27"/>
  <sheetViews>
    <sheetView topLeftCell="S1" workbookViewId="0">
      <selection activeCell="X1" sqref="X1"/>
    </sheetView>
  </sheetViews>
  <sheetFormatPr defaultRowHeight="14.5" x14ac:dyDescent="0.35"/>
  <cols>
    <col min="1" max="1" width="22.90625" customWidth="1"/>
    <col min="2" max="2" width="15.08984375" customWidth="1"/>
    <col min="3" max="3" width="28" customWidth="1"/>
    <col min="4" max="4" width="30.08984375" customWidth="1"/>
    <col min="5" max="5" width="48.08984375" customWidth="1"/>
    <col min="6" max="6" width="16.453125" customWidth="1"/>
    <col min="7" max="7" width="18.54296875" customWidth="1"/>
    <col min="8" max="8" width="17.90625" customWidth="1"/>
    <col min="14" max="14" width="21.08984375" customWidth="1"/>
    <col min="16" max="16" width="23.08984375" customWidth="1"/>
    <col min="18" max="18" width="19.453125" customWidth="1"/>
  </cols>
  <sheetData>
    <row r="1" spans="1:28" x14ac:dyDescent="0.35">
      <c r="A1" t="s">
        <v>104</v>
      </c>
      <c r="B1" t="s">
        <v>793</v>
      </c>
      <c r="C1" t="s">
        <v>789</v>
      </c>
      <c r="D1" t="s">
        <v>814</v>
      </c>
      <c r="E1" t="s">
        <v>798</v>
      </c>
      <c r="F1" t="s">
        <v>766</v>
      </c>
      <c r="G1" t="s">
        <v>766</v>
      </c>
      <c r="H1" t="s">
        <v>823</v>
      </c>
      <c r="J1" t="s">
        <v>824</v>
      </c>
      <c r="L1" t="s">
        <v>138</v>
      </c>
      <c r="O1" t="s">
        <v>766</v>
      </c>
      <c r="P1" t="s">
        <v>858</v>
      </c>
      <c r="R1" t="s">
        <v>826</v>
      </c>
      <c r="T1" t="s">
        <v>827</v>
      </c>
      <c r="V1" t="s">
        <v>766</v>
      </c>
      <c r="X1">
        <f>COUNTA('PAAR UPDATE'!$B$30:$B$110)</f>
        <v>4</v>
      </c>
      <c r="Y1">
        <f>COUNTA(G:G)-1-COUNTA(F:F)</f>
        <v>0</v>
      </c>
      <c r="Z1">
        <f>X1-Y1-COUNTA(F2:F3)</f>
        <v>4</v>
      </c>
      <c r="AB1" t="s">
        <v>905</v>
      </c>
    </row>
    <row r="2" spans="1:28" hidden="1" x14ac:dyDescent="0.35">
      <c r="A2" t="str">
        <f ca="1">IF(OFFSET('PAAR UPDATE'!$P30,-COUNTA('Existing PAARLIne'!$B$1:B121),)=0,"",OFFSET('PAAR UPDATE'!$P30,-COUNTA('Existing PAARLIne'!$B$1:B121),))</f>
        <v>Applicant Priority Rating(re-translated)</v>
      </c>
      <c r="B2" t="str">
        <f ca="1">IF(OFFSET('PAAR UPDATE'!$F30,-COUNTA('Existing PAARLIne'!$B$1:B121),)=0,"",OFFSET('PAAR UPDATE'!$F30,-COUNTA('Existing PAARLIne'!$B$1:B121),))</f>
        <v>Brief Rationale, including expected outcomes and impact (explain how the request builds on the allocation). 
Indicate the relevant population for HIV modules.</v>
      </c>
      <c r="C2" t="str">
        <f ca="1">IF(OR(OFFSET('PAAR UPDATE'!$G30,-COUNTA('Existing PAARLIne'!$B$1:B121),)=0,OFFSET('PAAR UPDATE'!$G30,-COUNTA('Existing PAARLIne'!$B$1:B121),)=""),B2,OFFSET('PAAR UPDATE'!$G30,-COUNTA('Existing PAARLIne'!$B$1:B121),))</f>
        <v>Translated Brief Rationale (filled in by A2F only)</v>
      </c>
      <c r="D2" t="str">
        <f ca="1">IF(OFFSET('PAAR UPDATE'!$J30,-COUNTA('Existing PAARLIne'!$B$1:B121),)=0,"",OFFSET('PAAR UPDATE'!$J30,-COUNTA('Existing PAARLIne'!$B$1:B121),))</f>
        <v>TRP Notes (only mandatory for "Not Recommended", partially recommended, or when priority rating differs)</v>
      </c>
      <c r="E2" t="str">
        <f ca="1">IF(OFFSET('PAAR UPDATE'!$O30,-COUNTA('Existing PAARLIne'!$B$1:B121),)=0,"",OFFSET('PAAR UPDATE'!$O30,-COUNTA('Existing PAARLIne'!$B$1:B121),))</f>
        <v>external ID</v>
      </c>
      <c r="F2" s="51"/>
      <c r="G2" t="str">
        <f>IF(Modules!$D$8=0,"",Modules!$D$8)</f>
        <v>a6R1R0000005VrEUAU</v>
      </c>
      <c r="H2" t="str">
        <f ca="1">IF(OFFSET('PAAR UPDATE'!$L30,-COUNTA('Existing PAARLIne'!$B$1:B121),)=0,"",OFFSET('PAAR UPDATE'!$L30,-COUNTA('Existing PAARLIne'!$B$1:B121),))</f>
        <v>Intervention id</v>
      </c>
      <c r="J2" t="str">
        <f ca="1">IF(OFFSET('PAAR UPDATE'!$U30,-COUNTA('Existing PAARLIne'!$B$1:B121),)=0,"",OFFSET('PAAR UPDATE'!$U30,-COUNTA('Existing PAARLIne'!$B$1:B121),))</f>
        <v/>
      </c>
      <c r="L2" t="str">
        <f ca="1">IF(OFFSET('PAAR UPDATE'!$Q30,-COUNTA('Existing PAARLIne'!$B$1:B121),)=0,"",OFFSET('PAAR UPDATE'!$Q30,-COUNTA('Existing PAARLIne'!$B$1:B121),))</f>
        <v>TRP priority rating(retranslated)</v>
      </c>
      <c r="N2" s="57" t="str">
        <f>Modules!$D$3</f>
        <v>Tuberculosis</v>
      </c>
      <c r="O2" t="str">
        <f>Modules!$B$2</f>
        <v>a443p00000094BmAAI</v>
      </c>
      <c r="P2" t="str">
        <f ca="1">IF(OFFSET('PAAR UPDATE'!I30,-COUNTA('Existing PAARLIne'!$B$1:B121),)=0,"",OFFSET('PAAR UPDATE'!I30,-COUNTA('Existing PAARLIne'!$B$1:B121),))</f>
        <v>TRP amount approved (USD)</v>
      </c>
      <c r="R2" t="str">
        <f ca="1">IF(OFFSET('PAAR UPDATE'!$E30,-COUNTA('Existing PAARLIne'!$B$1:B121),)=0,"",OFFSET('PAAR UPDATE'!$E30,-COUNTA('Existing PAARLIne'!$B$1:B121),))</f>
        <v>Amount Requested (USD)</v>
      </c>
      <c r="T2" t="str">
        <f>Modules!$E$7</f>
        <v>Active</v>
      </c>
      <c r="V2" t="str">
        <f>IF(Modules!$H11=0,"",Modules!$H11)</f>
        <v>[Record ID]</v>
      </c>
      <c r="AB2" t="b">
        <f>Modules!$G$7</f>
        <v>0</v>
      </c>
    </row>
    <row r="3" spans="1:28" x14ac:dyDescent="0.35">
      <c r="F3" s="51"/>
    </row>
    <row r="5" spans="1:28" x14ac:dyDescent="0.35">
      <c r="F5" s="51"/>
    </row>
    <row r="6" spans="1:28" x14ac:dyDescent="0.35">
      <c r="F6" s="51"/>
    </row>
    <row r="7" spans="1:28" x14ac:dyDescent="0.35">
      <c r="F7" s="51"/>
    </row>
    <row r="8" spans="1:28" x14ac:dyDescent="0.35">
      <c r="F8" s="51"/>
    </row>
    <row r="9" spans="1:28" x14ac:dyDescent="0.35">
      <c r="F9" s="51"/>
    </row>
    <row r="10" spans="1:28" x14ac:dyDescent="0.35">
      <c r="F10" s="51"/>
      <c r="G10" s="51"/>
    </row>
    <row r="11" spans="1:28" x14ac:dyDescent="0.35">
      <c r="F11" s="51"/>
    </row>
    <row r="12" spans="1:28" x14ac:dyDescent="0.35">
      <c r="F12" s="51"/>
    </row>
    <row r="13" spans="1:28" x14ac:dyDescent="0.35">
      <c r="F13" s="51"/>
    </row>
    <row r="14" spans="1:28" x14ac:dyDescent="0.35">
      <c r="F14" s="51"/>
    </row>
    <row r="15" spans="1:28" x14ac:dyDescent="0.35">
      <c r="F15" s="51"/>
    </row>
    <row r="16" spans="1:28" x14ac:dyDescent="0.35">
      <c r="F16" s="51"/>
    </row>
    <row r="17" spans="6:6" x14ac:dyDescent="0.35">
      <c r="F17" s="51"/>
    </row>
    <row r="18" spans="6:6" x14ac:dyDescent="0.35">
      <c r="F18" s="51"/>
    </row>
    <row r="19" spans="6:6" x14ac:dyDescent="0.35">
      <c r="F19" s="51"/>
    </row>
    <row r="20" spans="6:6" x14ac:dyDescent="0.35">
      <c r="F20" s="51"/>
    </row>
    <row r="21" spans="6:6" x14ac:dyDescent="0.35">
      <c r="F21" s="51"/>
    </row>
    <row r="22" spans="6:6" x14ac:dyDescent="0.35">
      <c r="F22" s="51"/>
    </row>
    <row r="23" spans="6:6" x14ac:dyDescent="0.35">
      <c r="F23" s="51"/>
    </row>
    <row r="24" spans="6:6" x14ac:dyDescent="0.35">
      <c r="F24" s="51"/>
    </row>
    <row r="25" spans="6:6" x14ac:dyDescent="0.35">
      <c r="F25" s="51"/>
    </row>
    <row r="26" spans="6:6" x14ac:dyDescent="0.35">
      <c r="F26" s="51"/>
    </row>
    <row r="27" spans="6:6" x14ac:dyDescent="0.35">
      <c r="F27" s="5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
  <sheetViews>
    <sheetView workbookViewId="0">
      <selection activeCell="G1" sqref="G1"/>
    </sheetView>
  </sheetViews>
  <sheetFormatPr defaultRowHeight="14.5" x14ac:dyDescent="0.35"/>
  <cols>
    <col min="3" max="3" width="15" customWidth="1"/>
  </cols>
  <sheetData>
    <row r="1" spans="1:7" x14ac:dyDescent="0.35">
      <c r="A1" t="s">
        <v>798</v>
      </c>
      <c r="B1" t="s">
        <v>766</v>
      </c>
      <c r="C1" t="s">
        <v>824</v>
      </c>
      <c r="F1" t="s">
        <v>766</v>
      </c>
      <c r="G1" t="s">
        <v>825</v>
      </c>
    </row>
    <row r="2" spans="1:7" hidden="1" x14ac:dyDescent="0.35"/>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B3"/>
  <sheetViews>
    <sheetView workbookViewId="0">
      <selection activeCell="G30" sqref="G30"/>
    </sheetView>
  </sheetViews>
  <sheetFormatPr defaultRowHeight="14.5" x14ac:dyDescent="0.35"/>
  <sheetData>
    <row r="1" spans="1:2" x14ac:dyDescent="0.35">
      <c r="A1" t="s">
        <v>773</v>
      </c>
      <c r="B1" t="str">
        <f>Modules!$D$3</f>
        <v>Tuberculosis</v>
      </c>
    </row>
    <row r="3" spans="1:2" x14ac:dyDescent="0.35">
      <c r="A3" s="48" t="s">
        <v>110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5"/>
  <sheetViews>
    <sheetView zoomScaleNormal="100" zoomScaleSheetLayoutView="100" workbookViewId="0">
      <selection activeCell="A2" sqref="A2:V2"/>
    </sheetView>
  </sheetViews>
  <sheetFormatPr defaultColWidth="9.08984375" defaultRowHeight="14" x14ac:dyDescent="0.35"/>
  <cols>
    <col min="1" max="3" width="25.90625" style="10" customWidth="1" collapsed="1"/>
    <col min="4" max="4" width="23.453125" style="10" bestFit="1" customWidth="1" collapsed="1"/>
    <col min="5" max="16384" width="9.08984375" style="10" collapsed="1"/>
  </cols>
  <sheetData>
    <row r="1" spans="1:22" ht="18" x14ac:dyDescent="0.35">
      <c r="A1" s="199" t="str">
        <f>IFERROR(VLOOKUP('PAAR UPDATE'!$B$10,Translation[],26,0),"")</f>
        <v>TRP Notes (only mandatory for "Not Recommended", partially recommended, or when priority rating differs)</v>
      </c>
      <c r="B1" s="199"/>
      <c r="C1" s="199"/>
      <c r="D1" s="199"/>
      <c r="E1" s="199"/>
      <c r="F1" s="199"/>
      <c r="G1" s="199"/>
      <c r="H1" s="199"/>
      <c r="I1" s="199"/>
      <c r="J1" s="199"/>
      <c r="K1" s="199"/>
      <c r="L1" s="199"/>
      <c r="M1" s="199"/>
      <c r="N1" s="199"/>
      <c r="O1" s="199"/>
      <c r="P1" s="199"/>
      <c r="Q1" s="199"/>
      <c r="R1" s="199"/>
      <c r="S1" s="199"/>
      <c r="T1" s="199"/>
      <c r="U1" s="199"/>
      <c r="V1" s="199"/>
    </row>
    <row r="2" spans="1:22" ht="90" customHeight="1" x14ac:dyDescent="0.35">
      <c r="A2" s="200" t="str">
        <f>IFERROR(VLOOKUP('PAAR UPDATE'!$B$10,Translation[],27,0),"")</f>
        <v>Instructions for Applicant:
• Select the corresponding module
• Select the corresponding intervention
• Enter the corresponding requested amount
• Enter the additional information you wish to add to the Brief Rationale section from the tab "Applicant-Candidat-Solicitante"</v>
      </c>
      <c r="B2" s="200"/>
      <c r="C2" s="200"/>
      <c r="D2" s="200"/>
      <c r="E2" s="200"/>
      <c r="F2" s="200"/>
      <c r="G2" s="200"/>
      <c r="H2" s="200"/>
      <c r="I2" s="200"/>
      <c r="J2" s="200"/>
      <c r="K2" s="200"/>
      <c r="L2" s="200"/>
      <c r="M2" s="200"/>
      <c r="N2" s="200"/>
      <c r="O2" s="200"/>
      <c r="P2" s="200"/>
      <c r="Q2" s="200"/>
      <c r="R2" s="200"/>
      <c r="S2" s="200"/>
      <c r="T2" s="200"/>
      <c r="U2" s="200"/>
      <c r="V2" s="200"/>
    </row>
    <row r="3" spans="1:22" ht="15" customHeight="1" x14ac:dyDescent="0.35">
      <c r="A3" s="32" t="str">
        <f>IFERROR(VLOOKUP('PAAR UPDATE'!$B$10,Translation[],28,0),"")</f>
        <v>Module</v>
      </c>
      <c r="B3" s="32" t="str">
        <f>IFERROR(VLOOKUP('PAAR UPDATE'!$B$10,Translation[],29,0),"")</f>
        <v>Intervention</v>
      </c>
      <c r="C3" s="32" t="str">
        <f>IFERROR(VLOOKUP('PAAR UPDATE'!$B$10,Translation[],30,0),"")</f>
        <v>Amount requested</v>
      </c>
      <c r="D3" s="201" t="str">
        <f>IFERROR(VLOOKUP('PAAR UPDATE'!$B$10,Translation[],31,0),"")</f>
        <v>Additional rationale</v>
      </c>
      <c r="E3" s="201"/>
      <c r="F3" s="201"/>
      <c r="G3" s="201"/>
      <c r="H3" s="201"/>
      <c r="I3" s="201"/>
      <c r="J3" s="201"/>
      <c r="K3" s="201"/>
      <c r="L3" s="201"/>
      <c r="M3" s="201"/>
      <c r="N3" s="201"/>
      <c r="O3" s="201"/>
      <c r="P3" s="201"/>
      <c r="Q3" s="201"/>
      <c r="R3" s="201"/>
      <c r="S3" s="201"/>
      <c r="T3" s="201"/>
      <c r="U3" s="201"/>
      <c r="V3" s="201"/>
    </row>
    <row r="4" spans="1:22" x14ac:dyDescent="0.35">
      <c r="A4" s="30"/>
      <c r="B4" s="30"/>
      <c r="C4" s="30"/>
      <c r="D4" s="198"/>
      <c r="E4" s="198"/>
      <c r="F4" s="198"/>
      <c r="G4" s="198"/>
      <c r="H4" s="198"/>
      <c r="I4" s="198"/>
      <c r="J4" s="198"/>
      <c r="K4" s="198"/>
      <c r="L4" s="198"/>
      <c r="M4" s="198"/>
      <c r="N4" s="198"/>
      <c r="O4" s="198"/>
      <c r="P4" s="198"/>
      <c r="Q4" s="198"/>
      <c r="R4" s="198"/>
      <c r="S4" s="198"/>
      <c r="T4" s="198"/>
      <c r="U4" s="198"/>
      <c r="V4" s="198"/>
    </row>
    <row r="5" spans="1:22" x14ac:dyDescent="0.35">
      <c r="A5" s="30"/>
      <c r="B5" s="30"/>
      <c r="C5" s="30"/>
      <c r="D5" s="198"/>
      <c r="E5" s="198"/>
      <c r="F5" s="198"/>
      <c r="G5" s="198"/>
      <c r="H5" s="198"/>
      <c r="I5" s="198"/>
      <c r="J5" s="198"/>
      <c r="K5" s="198"/>
      <c r="L5" s="198"/>
      <c r="M5" s="198"/>
      <c r="N5" s="198"/>
      <c r="O5" s="198"/>
      <c r="P5" s="198"/>
      <c r="Q5" s="198"/>
      <c r="R5" s="198"/>
      <c r="S5" s="198"/>
      <c r="T5" s="198"/>
      <c r="U5" s="198"/>
      <c r="V5" s="198"/>
    </row>
    <row r="6" spans="1:22" x14ac:dyDescent="0.35">
      <c r="A6" s="30"/>
      <c r="B6" s="30"/>
      <c r="C6" s="30"/>
      <c r="D6" s="198"/>
      <c r="E6" s="198"/>
      <c r="F6" s="198"/>
      <c r="G6" s="198"/>
      <c r="H6" s="198"/>
      <c r="I6" s="198"/>
      <c r="J6" s="198"/>
      <c r="K6" s="198"/>
      <c r="L6" s="198"/>
      <c r="M6" s="198"/>
      <c r="N6" s="198"/>
      <c r="O6" s="198"/>
      <c r="P6" s="198"/>
      <c r="Q6" s="198"/>
      <c r="R6" s="198"/>
      <c r="S6" s="198"/>
      <c r="T6" s="198"/>
      <c r="U6" s="198"/>
      <c r="V6" s="198"/>
    </row>
    <row r="7" spans="1:22" x14ac:dyDescent="0.35">
      <c r="A7" s="30"/>
      <c r="B7" s="30"/>
      <c r="C7" s="30"/>
      <c r="D7" s="198"/>
      <c r="E7" s="198"/>
      <c r="F7" s="198"/>
      <c r="G7" s="198"/>
      <c r="H7" s="198"/>
      <c r="I7" s="198"/>
      <c r="J7" s="198"/>
      <c r="K7" s="198"/>
      <c r="L7" s="198"/>
      <c r="M7" s="198"/>
      <c r="N7" s="198"/>
      <c r="O7" s="198"/>
      <c r="P7" s="198"/>
      <c r="Q7" s="198"/>
      <c r="R7" s="198"/>
      <c r="S7" s="198"/>
      <c r="T7" s="198"/>
      <c r="U7" s="198"/>
      <c r="V7" s="198"/>
    </row>
    <row r="8" spans="1:22" x14ac:dyDescent="0.35">
      <c r="A8" s="30"/>
      <c r="B8" s="30"/>
      <c r="C8" s="30"/>
      <c r="D8" s="198"/>
      <c r="E8" s="198"/>
      <c r="F8" s="198"/>
      <c r="G8" s="198"/>
      <c r="H8" s="198"/>
      <c r="I8" s="198"/>
      <c r="J8" s="198"/>
      <c r="K8" s="198"/>
      <c r="L8" s="198"/>
      <c r="M8" s="198"/>
      <c r="N8" s="198"/>
      <c r="O8" s="198"/>
      <c r="P8" s="198"/>
      <c r="Q8" s="198"/>
      <c r="R8" s="198"/>
      <c r="S8" s="198"/>
      <c r="T8" s="198"/>
      <c r="U8" s="198"/>
      <c r="V8" s="198"/>
    </row>
    <row r="9" spans="1:22" x14ac:dyDescent="0.35">
      <c r="A9" s="30"/>
      <c r="B9" s="30"/>
      <c r="C9" s="30"/>
      <c r="D9" s="198"/>
      <c r="E9" s="198"/>
      <c r="F9" s="198"/>
      <c r="G9" s="198"/>
      <c r="H9" s="198"/>
      <c r="I9" s="198"/>
      <c r="J9" s="198"/>
      <c r="K9" s="198"/>
      <c r="L9" s="198"/>
      <c r="M9" s="198"/>
      <c r="N9" s="198"/>
      <c r="O9" s="198"/>
      <c r="P9" s="198"/>
      <c r="Q9" s="198"/>
      <c r="R9" s="198"/>
      <c r="S9" s="198"/>
      <c r="T9" s="198"/>
      <c r="U9" s="198"/>
      <c r="V9" s="198"/>
    </row>
    <row r="10" spans="1:22" x14ac:dyDescent="0.35">
      <c r="A10" s="30"/>
      <c r="B10" s="30"/>
      <c r="C10" s="30"/>
      <c r="D10" s="198"/>
      <c r="E10" s="198"/>
      <c r="F10" s="198"/>
      <c r="G10" s="198"/>
      <c r="H10" s="198"/>
      <c r="I10" s="198"/>
      <c r="J10" s="198"/>
      <c r="K10" s="198"/>
      <c r="L10" s="198"/>
      <c r="M10" s="198"/>
      <c r="N10" s="198"/>
      <c r="O10" s="198"/>
      <c r="P10" s="198"/>
      <c r="Q10" s="198"/>
      <c r="R10" s="198"/>
      <c r="S10" s="198"/>
      <c r="T10" s="198"/>
      <c r="U10" s="198"/>
      <c r="V10" s="198"/>
    </row>
    <row r="11" spans="1:22" x14ac:dyDescent="0.35">
      <c r="A11" s="30"/>
      <c r="B11" s="30"/>
      <c r="C11" s="30"/>
      <c r="D11" s="198"/>
      <c r="E11" s="198"/>
      <c r="F11" s="198"/>
      <c r="G11" s="198"/>
      <c r="H11" s="198"/>
      <c r="I11" s="198"/>
      <c r="J11" s="198"/>
      <c r="K11" s="198"/>
      <c r="L11" s="198"/>
      <c r="M11" s="198"/>
      <c r="N11" s="198"/>
      <c r="O11" s="198"/>
      <c r="P11" s="198"/>
      <c r="Q11" s="198"/>
      <c r="R11" s="198"/>
      <c r="S11" s="198"/>
      <c r="T11" s="198"/>
      <c r="U11" s="198"/>
      <c r="V11" s="198"/>
    </row>
    <row r="12" spans="1:22" x14ac:dyDescent="0.35">
      <c r="A12" s="30"/>
      <c r="B12" s="30"/>
      <c r="C12" s="30"/>
      <c r="D12" s="198"/>
      <c r="E12" s="198"/>
      <c r="F12" s="198"/>
      <c r="G12" s="198"/>
      <c r="H12" s="198"/>
      <c r="I12" s="198"/>
      <c r="J12" s="198"/>
      <c r="K12" s="198"/>
      <c r="L12" s="198"/>
      <c r="M12" s="198"/>
      <c r="N12" s="198"/>
      <c r="O12" s="198"/>
      <c r="P12" s="198"/>
      <c r="Q12" s="198"/>
      <c r="R12" s="198"/>
      <c r="S12" s="198"/>
      <c r="T12" s="198"/>
      <c r="U12" s="198"/>
      <c r="V12" s="198"/>
    </row>
    <row r="13" spans="1:22" x14ac:dyDescent="0.35">
      <c r="A13" s="30"/>
      <c r="B13" s="30"/>
      <c r="C13" s="30"/>
      <c r="D13" s="198"/>
      <c r="E13" s="198"/>
      <c r="F13" s="198"/>
      <c r="G13" s="198"/>
      <c r="H13" s="198"/>
      <c r="I13" s="198"/>
      <c r="J13" s="198"/>
      <c r="K13" s="198"/>
      <c r="L13" s="198"/>
      <c r="M13" s="198"/>
      <c r="N13" s="198"/>
      <c r="O13" s="198"/>
      <c r="P13" s="198"/>
      <c r="Q13" s="198"/>
      <c r="R13" s="198"/>
      <c r="S13" s="198"/>
      <c r="T13" s="198"/>
      <c r="U13" s="198"/>
      <c r="V13" s="198"/>
    </row>
    <row r="14" spans="1:22" x14ac:dyDescent="0.35">
      <c r="A14" s="30"/>
      <c r="B14" s="30"/>
      <c r="C14" s="30"/>
      <c r="D14" s="198"/>
      <c r="E14" s="198"/>
      <c r="F14" s="198"/>
      <c r="G14" s="198"/>
      <c r="H14" s="198"/>
      <c r="I14" s="198"/>
      <c r="J14" s="198"/>
      <c r="K14" s="198"/>
      <c r="L14" s="198"/>
      <c r="M14" s="198"/>
      <c r="N14" s="198"/>
      <c r="O14" s="198"/>
      <c r="P14" s="198"/>
      <c r="Q14" s="198"/>
      <c r="R14" s="198"/>
      <c r="S14" s="198"/>
      <c r="T14" s="198"/>
      <c r="U14" s="198"/>
      <c r="V14" s="198"/>
    </row>
    <row r="15" spans="1:22" x14ac:dyDescent="0.35">
      <c r="A15" s="30"/>
      <c r="B15" s="30"/>
      <c r="C15" s="30"/>
      <c r="D15" s="198"/>
      <c r="E15" s="198"/>
      <c r="F15" s="198"/>
      <c r="G15" s="198"/>
      <c r="H15" s="198"/>
      <c r="I15" s="198"/>
      <c r="J15" s="198"/>
      <c r="K15" s="198"/>
      <c r="L15" s="198"/>
      <c r="M15" s="198"/>
      <c r="N15" s="198"/>
      <c r="O15" s="198"/>
      <c r="P15" s="198"/>
      <c r="Q15" s="198"/>
      <c r="R15" s="198"/>
      <c r="S15" s="198"/>
      <c r="T15" s="198"/>
      <c r="U15" s="198"/>
      <c r="V15" s="198"/>
    </row>
    <row r="16" spans="1:22" x14ac:dyDescent="0.35">
      <c r="A16" s="30"/>
      <c r="B16" s="30"/>
      <c r="C16" s="30"/>
      <c r="D16" s="198"/>
      <c r="E16" s="198"/>
      <c r="F16" s="198"/>
      <c r="G16" s="198"/>
      <c r="H16" s="198"/>
      <c r="I16" s="198"/>
      <c r="J16" s="198"/>
      <c r="K16" s="198"/>
      <c r="L16" s="198"/>
      <c r="M16" s="198"/>
      <c r="N16" s="198"/>
      <c r="O16" s="198"/>
      <c r="P16" s="198"/>
      <c r="Q16" s="198"/>
      <c r="R16" s="198"/>
      <c r="S16" s="198"/>
      <c r="T16" s="198"/>
      <c r="U16" s="198"/>
      <c r="V16" s="198"/>
    </row>
    <row r="17" spans="1:22" x14ac:dyDescent="0.35">
      <c r="A17" s="30"/>
      <c r="B17" s="30"/>
      <c r="C17" s="30"/>
      <c r="D17" s="198"/>
      <c r="E17" s="198"/>
      <c r="F17" s="198"/>
      <c r="G17" s="198"/>
      <c r="H17" s="198"/>
      <c r="I17" s="198"/>
      <c r="J17" s="198"/>
      <c r="K17" s="198"/>
      <c r="L17" s="198"/>
      <c r="M17" s="198"/>
      <c r="N17" s="198"/>
      <c r="O17" s="198"/>
      <c r="P17" s="198"/>
      <c r="Q17" s="198"/>
      <c r="R17" s="198"/>
      <c r="S17" s="198"/>
      <c r="T17" s="198"/>
      <c r="U17" s="198"/>
      <c r="V17" s="198"/>
    </row>
    <row r="18" spans="1:22" x14ac:dyDescent="0.35">
      <c r="A18" s="30"/>
      <c r="B18" s="30"/>
      <c r="C18" s="30"/>
      <c r="D18" s="198"/>
      <c r="E18" s="198"/>
      <c r="F18" s="198"/>
      <c r="G18" s="198"/>
      <c r="H18" s="198"/>
      <c r="I18" s="198"/>
      <c r="J18" s="198"/>
      <c r="K18" s="198"/>
      <c r="L18" s="198"/>
      <c r="M18" s="198"/>
      <c r="N18" s="198"/>
      <c r="O18" s="198"/>
      <c r="P18" s="198"/>
      <c r="Q18" s="198"/>
      <c r="R18" s="198"/>
      <c r="S18" s="198"/>
      <c r="T18" s="198"/>
      <c r="U18" s="198"/>
      <c r="V18" s="198"/>
    </row>
    <row r="19" spans="1:22" x14ac:dyDescent="0.35">
      <c r="A19" s="30"/>
      <c r="B19" s="30"/>
      <c r="C19" s="30"/>
      <c r="D19" s="198"/>
      <c r="E19" s="198"/>
      <c r="F19" s="198"/>
      <c r="G19" s="198"/>
      <c r="H19" s="198"/>
      <c r="I19" s="198"/>
      <c r="J19" s="198"/>
      <c r="K19" s="198"/>
      <c r="L19" s="198"/>
      <c r="M19" s="198"/>
      <c r="N19" s="198"/>
      <c r="O19" s="198"/>
      <c r="P19" s="198"/>
      <c r="Q19" s="198"/>
      <c r="R19" s="198"/>
      <c r="S19" s="198"/>
      <c r="T19" s="198"/>
      <c r="U19" s="198"/>
      <c r="V19" s="198"/>
    </row>
    <row r="20" spans="1:22" x14ac:dyDescent="0.35">
      <c r="A20" s="30"/>
      <c r="B20" s="30"/>
      <c r="C20" s="30"/>
      <c r="D20" s="198"/>
      <c r="E20" s="198"/>
      <c r="F20" s="198"/>
      <c r="G20" s="198"/>
      <c r="H20" s="198"/>
      <c r="I20" s="198"/>
      <c r="J20" s="198"/>
      <c r="K20" s="198"/>
      <c r="L20" s="198"/>
      <c r="M20" s="198"/>
      <c r="N20" s="198"/>
      <c r="O20" s="198"/>
      <c r="P20" s="198"/>
      <c r="Q20" s="198"/>
      <c r="R20" s="198"/>
      <c r="S20" s="198"/>
      <c r="T20" s="198"/>
      <c r="U20" s="198"/>
      <c r="V20" s="198"/>
    </row>
    <row r="21" spans="1:22" x14ac:dyDescent="0.35">
      <c r="A21" s="30"/>
      <c r="B21" s="30"/>
      <c r="C21" s="30"/>
      <c r="D21" s="198"/>
      <c r="E21" s="198"/>
      <c r="F21" s="198"/>
      <c r="G21" s="198"/>
      <c r="H21" s="198"/>
      <c r="I21" s="198"/>
      <c r="J21" s="198"/>
      <c r="K21" s="198"/>
      <c r="L21" s="198"/>
      <c r="M21" s="198"/>
      <c r="N21" s="198"/>
      <c r="O21" s="198"/>
      <c r="P21" s="198"/>
      <c r="Q21" s="198"/>
      <c r="R21" s="198"/>
      <c r="S21" s="198"/>
      <c r="T21" s="198"/>
      <c r="U21" s="198"/>
      <c r="V21" s="198"/>
    </row>
    <row r="22" spans="1:22" x14ac:dyDescent="0.35">
      <c r="A22" s="30"/>
      <c r="B22" s="30"/>
      <c r="C22" s="30"/>
      <c r="D22" s="198"/>
      <c r="E22" s="198"/>
      <c r="F22" s="198"/>
      <c r="G22" s="198"/>
      <c r="H22" s="198"/>
      <c r="I22" s="198"/>
      <c r="J22" s="198"/>
      <c r="K22" s="198"/>
      <c r="L22" s="198"/>
      <c r="M22" s="198"/>
      <c r="N22" s="198"/>
      <c r="O22" s="198"/>
      <c r="P22" s="198"/>
      <c r="Q22" s="198"/>
      <c r="R22" s="198"/>
      <c r="S22" s="198"/>
      <c r="T22" s="198"/>
      <c r="U22" s="198"/>
      <c r="V22" s="198"/>
    </row>
    <row r="23" spans="1:22" x14ac:dyDescent="0.35">
      <c r="A23" s="30"/>
      <c r="B23" s="30"/>
      <c r="C23" s="30"/>
      <c r="D23" s="198"/>
      <c r="E23" s="198"/>
      <c r="F23" s="198"/>
      <c r="G23" s="198"/>
      <c r="H23" s="198"/>
      <c r="I23" s="198"/>
      <c r="J23" s="198"/>
      <c r="K23" s="198"/>
      <c r="L23" s="198"/>
      <c r="M23" s="198"/>
      <c r="N23" s="198"/>
      <c r="O23" s="198"/>
      <c r="P23" s="198"/>
      <c r="Q23" s="198"/>
      <c r="R23" s="198"/>
      <c r="S23" s="198"/>
      <c r="T23" s="198"/>
      <c r="U23" s="198"/>
      <c r="V23" s="198"/>
    </row>
    <row r="24" spans="1:22" x14ac:dyDescent="0.35">
      <c r="A24" s="30"/>
      <c r="B24" s="30"/>
      <c r="C24" s="30"/>
      <c r="D24" s="198"/>
      <c r="E24" s="198"/>
      <c r="F24" s="198"/>
      <c r="G24" s="198"/>
      <c r="H24" s="198"/>
      <c r="I24" s="198"/>
      <c r="J24" s="198"/>
      <c r="K24" s="198"/>
      <c r="L24" s="198"/>
      <c r="M24" s="198"/>
      <c r="N24" s="198"/>
      <c r="O24" s="198"/>
      <c r="P24" s="198"/>
      <c r="Q24" s="198"/>
      <c r="R24" s="198"/>
      <c r="S24" s="198"/>
      <c r="T24" s="198"/>
      <c r="U24" s="198"/>
      <c r="V24" s="198"/>
    </row>
    <row r="25" spans="1:22" x14ac:dyDescent="0.35">
      <c r="A25" s="30"/>
      <c r="B25" s="30"/>
      <c r="C25" s="30"/>
      <c r="D25" s="198"/>
      <c r="E25" s="198"/>
      <c r="F25" s="198"/>
      <c r="G25" s="198"/>
      <c r="H25" s="198"/>
      <c r="I25" s="198"/>
      <c r="J25" s="198"/>
      <c r="K25" s="198"/>
      <c r="L25" s="198"/>
      <c r="M25" s="198"/>
      <c r="N25" s="198"/>
      <c r="O25" s="198"/>
      <c r="P25" s="198"/>
      <c r="Q25" s="198"/>
      <c r="R25" s="198"/>
      <c r="S25" s="198"/>
      <c r="T25" s="198"/>
      <c r="U25" s="198"/>
      <c r="V25" s="198"/>
    </row>
    <row r="26" spans="1:22" x14ac:dyDescent="0.35">
      <c r="A26" s="30"/>
      <c r="B26" s="30"/>
      <c r="C26" s="30"/>
      <c r="D26" s="198"/>
      <c r="E26" s="198"/>
      <c r="F26" s="198"/>
      <c r="G26" s="198"/>
      <c r="H26" s="198"/>
      <c r="I26" s="198"/>
      <c r="J26" s="198"/>
      <c r="K26" s="198"/>
      <c r="L26" s="198"/>
      <c r="M26" s="198"/>
      <c r="N26" s="198"/>
      <c r="O26" s="198"/>
      <c r="P26" s="198"/>
      <c r="Q26" s="198"/>
      <c r="R26" s="198"/>
      <c r="S26" s="198"/>
      <c r="T26" s="198"/>
      <c r="U26" s="198"/>
      <c r="V26" s="198"/>
    </row>
    <row r="27" spans="1:22" x14ac:dyDescent="0.35">
      <c r="A27" s="30"/>
      <c r="B27" s="30"/>
      <c r="C27" s="30"/>
      <c r="D27" s="198"/>
      <c r="E27" s="198"/>
      <c r="F27" s="198"/>
      <c r="G27" s="198"/>
      <c r="H27" s="198"/>
      <c r="I27" s="198"/>
      <c r="J27" s="198"/>
      <c r="K27" s="198"/>
      <c r="L27" s="198"/>
      <c r="M27" s="198"/>
      <c r="N27" s="198"/>
      <c r="O27" s="198"/>
      <c r="P27" s="198"/>
      <c r="Q27" s="198"/>
      <c r="R27" s="198"/>
      <c r="S27" s="198"/>
      <c r="T27" s="198"/>
      <c r="U27" s="198"/>
      <c r="V27" s="198"/>
    </row>
    <row r="28" spans="1:22" x14ac:dyDescent="0.35">
      <c r="A28" s="30"/>
      <c r="B28" s="30"/>
      <c r="C28" s="30"/>
      <c r="D28" s="198"/>
      <c r="E28" s="198"/>
      <c r="F28" s="198"/>
      <c r="G28" s="198"/>
      <c r="H28" s="198"/>
      <c r="I28" s="198"/>
      <c r="J28" s="198"/>
      <c r="K28" s="198"/>
      <c r="L28" s="198"/>
      <c r="M28" s="198"/>
      <c r="N28" s="198"/>
      <c r="O28" s="198"/>
      <c r="P28" s="198"/>
      <c r="Q28" s="198"/>
      <c r="R28" s="198"/>
      <c r="S28" s="198"/>
      <c r="T28" s="198"/>
      <c r="U28" s="198"/>
      <c r="V28" s="198"/>
    </row>
    <row r="29" spans="1:22" x14ac:dyDescent="0.35">
      <c r="A29" s="30"/>
      <c r="B29" s="30"/>
      <c r="C29" s="30"/>
      <c r="D29" s="198"/>
      <c r="E29" s="198"/>
      <c r="F29" s="198"/>
      <c r="G29" s="198"/>
      <c r="H29" s="198"/>
      <c r="I29" s="198"/>
      <c r="J29" s="198"/>
      <c r="K29" s="198"/>
      <c r="L29" s="198"/>
      <c r="M29" s="198"/>
      <c r="N29" s="198"/>
      <c r="O29" s="198"/>
      <c r="P29" s="198"/>
      <c r="Q29" s="198"/>
      <c r="R29" s="198"/>
      <c r="S29" s="198"/>
      <c r="T29" s="198"/>
      <c r="U29" s="198"/>
      <c r="V29" s="198"/>
    </row>
    <row r="30" spans="1:22" x14ac:dyDescent="0.35">
      <c r="A30" s="30"/>
      <c r="B30" s="30"/>
      <c r="C30" s="30"/>
      <c r="D30" s="198"/>
      <c r="E30" s="198"/>
      <c r="F30" s="198"/>
      <c r="G30" s="198"/>
      <c r="H30" s="198"/>
      <c r="I30" s="198"/>
      <c r="J30" s="198"/>
      <c r="K30" s="198"/>
      <c r="L30" s="198"/>
      <c r="M30" s="198"/>
      <c r="N30" s="198"/>
      <c r="O30" s="198"/>
      <c r="P30" s="198"/>
      <c r="Q30" s="198"/>
      <c r="R30" s="198"/>
      <c r="S30" s="198"/>
      <c r="T30" s="198"/>
      <c r="U30" s="198"/>
      <c r="V30" s="198"/>
    </row>
    <row r="31" spans="1:22" x14ac:dyDescent="0.35">
      <c r="A31" s="30"/>
      <c r="B31" s="30"/>
      <c r="C31" s="30"/>
      <c r="D31" s="198"/>
      <c r="E31" s="198"/>
      <c r="F31" s="198"/>
      <c r="G31" s="198"/>
      <c r="H31" s="198"/>
      <c r="I31" s="198"/>
      <c r="J31" s="198"/>
      <c r="K31" s="198"/>
      <c r="L31" s="198"/>
      <c r="M31" s="198"/>
      <c r="N31" s="198"/>
      <c r="O31" s="198"/>
      <c r="P31" s="198"/>
      <c r="Q31" s="198"/>
      <c r="R31" s="198"/>
      <c r="S31" s="198"/>
      <c r="T31" s="198"/>
      <c r="U31" s="198"/>
      <c r="V31" s="198"/>
    </row>
    <row r="32" spans="1:22" x14ac:dyDescent="0.35">
      <c r="A32" s="30"/>
      <c r="B32" s="30"/>
      <c r="C32" s="30"/>
      <c r="D32" s="198"/>
      <c r="E32" s="198"/>
      <c r="F32" s="198"/>
      <c r="G32" s="198"/>
      <c r="H32" s="198"/>
      <c r="I32" s="198"/>
      <c r="J32" s="198"/>
      <c r="K32" s="198"/>
      <c r="L32" s="198"/>
      <c r="M32" s="198"/>
      <c r="N32" s="198"/>
      <c r="O32" s="198"/>
      <c r="P32" s="198"/>
      <c r="Q32" s="198"/>
      <c r="R32" s="198"/>
      <c r="S32" s="198"/>
      <c r="T32" s="198"/>
      <c r="U32" s="198"/>
      <c r="V32" s="198"/>
    </row>
    <row r="33" spans="1:22" x14ac:dyDescent="0.35">
      <c r="A33" s="30"/>
      <c r="B33" s="30"/>
      <c r="C33" s="30"/>
      <c r="D33" s="198"/>
      <c r="E33" s="198"/>
      <c r="F33" s="198"/>
      <c r="G33" s="198"/>
      <c r="H33" s="198"/>
      <c r="I33" s="198"/>
      <c r="J33" s="198"/>
      <c r="K33" s="198"/>
      <c r="L33" s="198"/>
      <c r="M33" s="198"/>
      <c r="N33" s="198"/>
      <c r="O33" s="198"/>
      <c r="P33" s="198"/>
      <c r="Q33" s="198"/>
      <c r="R33" s="198"/>
      <c r="S33" s="198"/>
      <c r="T33" s="198"/>
      <c r="U33" s="198"/>
      <c r="V33" s="198"/>
    </row>
    <row r="34" spans="1:22" x14ac:dyDescent="0.35">
      <c r="A34" s="30"/>
      <c r="B34" s="30"/>
      <c r="C34" s="30"/>
      <c r="D34" s="198"/>
      <c r="E34" s="198"/>
      <c r="F34" s="198"/>
      <c r="G34" s="198"/>
      <c r="H34" s="198"/>
      <c r="I34" s="198"/>
      <c r="J34" s="198"/>
      <c r="K34" s="198"/>
      <c r="L34" s="198"/>
      <c r="M34" s="198"/>
      <c r="N34" s="198"/>
      <c r="O34" s="198"/>
      <c r="P34" s="198"/>
      <c r="Q34" s="198"/>
      <c r="R34" s="198"/>
      <c r="S34" s="198"/>
      <c r="T34" s="198"/>
      <c r="U34" s="198"/>
      <c r="V34" s="198"/>
    </row>
    <row r="35" spans="1:22" x14ac:dyDescent="0.35">
      <c r="A35" s="30"/>
      <c r="B35" s="30"/>
      <c r="C35" s="30"/>
      <c r="D35" s="198"/>
      <c r="E35" s="198"/>
      <c r="F35" s="198"/>
      <c r="G35" s="198"/>
      <c r="H35" s="198"/>
      <c r="I35" s="198"/>
      <c r="J35" s="198"/>
      <c r="K35" s="198"/>
      <c r="L35" s="198"/>
      <c r="M35" s="198"/>
      <c r="N35" s="198"/>
      <c r="O35" s="198"/>
      <c r="P35" s="198"/>
      <c r="Q35" s="198"/>
      <c r="R35" s="198"/>
      <c r="S35" s="198"/>
      <c r="T35" s="198"/>
      <c r="U35" s="198"/>
      <c r="V35" s="198"/>
    </row>
  </sheetData>
  <sheetProtection formatRows="0" insertRows="0"/>
  <mergeCells count="35">
    <mergeCell ref="A1:V1"/>
    <mergeCell ref="A2:V2"/>
    <mergeCell ref="D3:V3"/>
    <mergeCell ref="D15:V15"/>
    <mergeCell ref="D4:V4"/>
    <mergeCell ref="D5:V5"/>
    <mergeCell ref="D6:V6"/>
    <mergeCell ref="D7:V7"/>
    <mergeCell ref="D8:V8"/>
    <mergeCell ref="D9:V9"/>
    <mergeCell ref="D10:V10"/>
    <mergeCell ref="D11:V11"/>
    <mergeCell ref="D12:V12"/>
    <mergeCell ref="D13:V13"/>
    <mergeCell ref="D14:V14"/>
    <mergeCell ref="D27:V27"/>
    <mergeCell ref="D16:V16"/>
    <mergeCell ref="D17:V17"/>
    <mergeCell ref="D18:V18"/>
    <mergeCell ref="D19:V19"/>
    <mergeCell ref="D20:V20"/>
    <mergeCell ref="D21:V21"/>
    <mergeCell ref="D22:V22"/>
    <mergeCell ref="D23:V23"/>
    <mergeCell ref="D24:V24"/>
    <mergeCell ref="D25:V25"/>
    <mergeCell ref="D26:V26"/>
    <mergeCell ref="D34:V34"/>
    <mergeCell ref="D35:V35"/>
    <mergeCell ref="D28:V28"/>
    <mergeCell ref="D29:V29"/>
    <mergeCell ref="D30:V30"/>
    <mergeCell ref="D31:V31"/>
    <mergeCell ref="D32:V32"/>
    <mergeCell ref="D33:V33"/>
  </mergeCells>
  <dataValidations count="3">
    <dataValidation type="decimal" operator="greaterThanOrEqual" allowBlank="1" showInputMessage="1" showErrorMessage="1" sqref="C4:C35">
      <formula1>0</formula1>
    </dataValidation>
    <dataValidation type="list" allowBlank="1" showInputMessage="1" showErrorMessage="1" sqref="A4:A35">
      <formula1>Module</formula1>
    </dataValidation>
    <dataValidation type="list" allowBlank="1" showInputMessage="1" showErrorMessage="1" sqref="B4:B35">
      <formula1>ADD_Intervention</formula1>
    </dataValidation>
  </dataValidations>
  <pageMargins left="0.7" right="0.7" top="0.75" bottom="0.75" header="0.3" footer="0.3"/>
  <pageSetup paperSize="9" scale="3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ing Document" ma:contentTypeID="0x010100DB1926E75FE6D448A94BA4FC7E9CAC0400EB82F3FDC0493647B521A7A424B5B012" ma:contentTypeVersion="5" ma:contentTypeDescription=" Working Document (0 years retention period)" ma:contentTypeScope="" ma:versionID="988ef2041f9b574b4153810260189b2d">
  <xsd:schema xmlns:xsd="http://www.w3.org/2001/XMLSchema" xmlns:xs="http://www.w3.org/2001/XMLSchema" xmlns:p="http://schemas.microsoft.com/office/2006/metadata/properties" xmlns:ns2="a03ac030-8fc0-429e-a59d-aec15056182b" xmlns:ns3="http://schemas.microsoft.com/sharepoint/v4" xmlns:ns4="2219519e-2df8-4e68-9bc8-47ece53c639c" targetNamespace="http://schemas.microsoft.com/office/2006/metadata/properties" ma:root="true" ma:fieldsID="ccd14a736a2985a4fd4c1287b5566216" ns2:_="" ns3:_="" ns4:_="">
    <xsd:import namespace="a03ac030-8fc0-429e-a59d-aec15056182b"/>
    <xsd:import namespace="http://schemas.microsoft.com/sharepoint/v4"/>
    <xsd:import namespace="2219519e-2df8-4e68-9bc8-47ece53c639c"/>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19519e-2df8-4e68-9bc8-47ece53c639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C U E A A B Q S w M E F A A C A A g A z 1 P s 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z 1 P s 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9 T 7 E 7 I u T g v H A E A A A w D A A A T A B w A R m 9 y b X V s Y X M v U 2 V j d G l v b j E u b S C i G A A o o B Q A A A A A A A A A A A A A A A A A A A A A A A A A A A D V k U 9 r h D A Q x e + C 3 y H Y i 4 I s L D 0 u H o p b 6 K V / q E I P I i W b n V b Z m C y T S d k i f v f G V V o r L j 0 3 l 8 D M 5 P c m 7 x k Q V G v F s u F e b 3 z P 9 0 z F E f b s X u + t h N c H 3 g B L m A T y P e Z O p i 2 K v n J 7 E i B X q U U E R S 8 a D z u t D 2 H U F v 2 L J M j 5 T s J 1 U H Z F q h W 5 k T I e A F d B W n H 1 7 h T y z y M E j n Q e X e X I l X n T 2 K R a 2 k b 1 T R M O a n H b B u M + r K c H M S P X Z g Q n 6 r r o G / w M j f 5 w 4 E e q A N n A M T 8 K G U j 3 z 7 E c z v a I Z x I T 7 B P q R p M b v A O + B 5 w Q x 8 5 Y D y 9 t E L N i n L y R M h N c c j Q J o Y U y W j R l / Y c r C y v 1 F p 2 d L 2 f m + F 6 t l j W m Y Q 9 p / b e c t / Y o a 8 E J J p F s a 0 O 1 E j T P 9 5 c R C 4 D N F 1 B L A Q I t A B Q A A g A I A M 9 T 7 E 7 G r a w E p w A A A P g A A A A S A A A A A A A A A A A A A A A A A A A A A A B D b 2 5 m a W c v U G F j a 2 F n Z S 5 4 b W x Q S w E C L Q A U A A I A C A D P U + x O D 8 r p q 6 Q A A A D p A A A A E w A A A A A A A A A A A A A A A A D z A A A A W 0 N v b n R l b n R f V H l w Z X N d L n h t b F B L A Q I t A B Q A A g A I A M 9 T 7 E 7 I u T g v H A E A A A w D A A A T A A A A A A A A A A A A A A A A A O Q B A A B G b 3 J t d W x h c y 9 T Z W N 0 a W 9 u M S 5 t U E s F B g A A A A A D A A M A w g A A A E 0 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h k S A A A A A A A A 9 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v Z H V s Z V 9 O Y W 1 l 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x O S 0 w N y 0 w M V Q x N D o y N D o 0 N i 4 3 N T E y M z I y W i I g L z 4 8 R W 5 0 c n k g V H l w Z T 0 i R m l s b E N v b H V t b l R 5 c G V z I i B W Y W x 1 Z T 0 i c 0 J n P T 0 i I C 8 + P E V u d H J 5 I F R 5 c G U 9 I k Z p b G x D b 2 x 1 b W 5 O Y W 1 l c y I g V m F s d W U 9 I n N b J n F 1 b 3 Q 7 W 0 5 h b W V d 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T W 9 k d W x l X 0 5 h b W U v Q 2 h h b m d l Z C B U e X B l M S 5 7 W 0 5 h b W V d L D B 9 J n F 1 b 3 Q 7 X S w m c X V v d D t D b 2 x 1 b W 5 D b 3 V u d C Z x d W 9 0 O z o x L C Z x d W 9 0 O 0 t l e U N v b H V t b k 5 h b W V z J n F 1 b 3 Q 7 O l t d L C Z x d W 9 0 O 0 N v b H V t b k l k Z W 5 0 a X R p Z X M m c X V v d D s 6 W y Z x d W 9 0 O 1 N l Y 3 R p b 2 4 x L 0 1 v Z H V s Z V 9 O Y W 1 l L 0 N o Y W 5 n Z W Q g V H l w Z T E u e 1 t O Y W 1 l X S w w f S Z x d W 9 0 O 1 0 s J n F 1 b 3 Q 7 U m V s Y X R p b 2 5 z a G l w S W 5 m b y Z x d W 9 0 O z p b X X 0 i I C 8 + P C 9 T d G F i b G V F b n R y a W V z P j w v S X R l b T 4 8 S X R l b T 4 8 S X R l b U x v Y 2 F 0 a W 9 u P j x J d G V t V H l w Z T 5 G b 3 J t d W x h P C 9 J d G V t V H l w Z T 4 8 S X R l b V B h d G g + U 2 V j d G l v b j E v T W 9 k d W x l X 0 5 h b W U v U 2 9 1 c m N l P C 9 J d G V t U G F 0 a D 4 8 L 0 l 0 Z W 1 M b 2 N h d G l v b j 4 8 U 3 R h Y m x l R W 5 0 c m l l c y A v P j w v S X R l b T 4 8 S X R l b T 4 8 S X R l b U x v Y 2 F 0 a W 9 u P j x J d G V t V H l w Z T 5 G b 3 J t d W x h P C 9 J d G V t V H l w Z T 4 8 S X R l b V B h d G g + U 2 V j d G l v b j E v T W 9 k d W x l X 0 5 h b W U v Q 2 h h b m d l Z C U y M F R 5 c G U 8 L 0 l 0 Z W 1 Q Y X R o P j w v S X R l b U x v Y 2 F 0 a W 9 u P j x T d G F i b G V F b n R y a W V z I C 8 + P C 9 J d G V t P j x J d G V t P j x J d G V t T G 9 j Y X R p b 2 4 + P E l 0 Z W 1 U e X B l P k Z v c m 1 1 b G E 8 L 0 l 0 Z W 1 U e X B l P j x J d G V t U G F 0 a D 5 T Z W N 0 a W 9 u M S 9 N b 2 R 1 b G V f T m F t Z S 9 S Z W 1 v d m V k J T I w T 3 R o Z X I l M j B D b 2 x 1 b W 5 z P C 9 J d G V t U G F 0 a D 4 8 L 0 l 0 Z W 1 M b 2 N h d G l v b j 4 8 U 3 R h Y m x l R W 5 0 c m l l c y A v P j w v S X R l b T 4 8 S X R l b T 4 8 S X R l b U x v Y 2 F 0 a W 9 u P j x J d G V t V H l w Z T 5 G b 3 J t d W x h P C 9 J d G V t V H l w Z T 4 8 S X R l b V B h d G g + U 2 V j d G l v b j E v T W 9 k d W x l X 0 5 h b W U v U H J v b W 9 0 Z W Q l M j B I Z W F k Z X J z P C 9 J d G V t U G F 0 a D 4 8 L 0 l 0 Z W 1 M b 2 N h d G l v b j 4 8 U 3 R h Y m x l R W 5 0 c m l l c y A v P j w v S X R l b T 4 8 S X R l b T 4 8 S X R l b U x v Y 2 F 0 a W 9 u P j x J d G V t V H l w Z T 5 G b 3 J t d W x h P C 9 J d G V t V H l w Z T 4 8 S X R l b V B h d G g + U 2 V j d G l v b j E v T W 9 k d W x l X 0 5 h b W U v Q 2 h h b m d l Z C U y M F R 5 c G U x P C 9 J d G V t U G F 0 a D 4 8 L 0 l 0 Z W 1 M b 2 N h d G l v b j 4 8 U 3 R h Y m x l R W 5 0 c m l l c y A v P j w v S X R l b T 4 8 S X R l b T 4 8 S X R l b U x v Y 2 F 0 a W 9 u P j x J d G V t V H l w Z T 5 G b 3 J t d W x h P C 9 J d G V t V H l w Z T 4 8 S X R l b V B h d G g + U 2 V j d G l v b j E v V G F i b G U z 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1 I i A v P j x F b n R y e S B U e X B l P S J S Z W N v d m V y e V R h c m d l d E N v b H V t b i I g V m F s d W U 9 I m w x I i A v P j x F b n R y e S B U e X B l P S J S Z W N v d m V y e V R h c m d l d F J v d y 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E 5 L T A 3 L T E y V D A 4 O j E 2 O j A x L j g 5 M j M 2 M T Z a I i A v P j x F b n R y e S B U e X B l P S J G a W x s Q 2 9 s d W 1 u V H l w Z X M i I F Z h b H V l P S J z Q m c 9 P S I g L z 4 8 R W 5 0 c n k g V H l w Z T 0 i R m l s b E N v b H V t b k 5 h b W V z I i B W Y W x 1 Z T 0 i c 1 s m c X V v d D s g T W 9 k d W x l I E 5 h b W U m c X V v d D t d I i A v P j x F b n R y e S B U e X B l P S J G a W x s U 3 R h d H V z I i B W Y W x 1 Z T 0 i c 0 N v b X B s Z X R l I i A v P j x F b n R y e S B U e X B l P S J S Z W x h d G l v b n N o a X B J b m Z v Q 2 9 u d G F p b m V y I i B W Y W x 1 Z T 0 i c 3 s m c X V v d D t j b 2 x 1 b W 5 D b 3 V u d C Z x d W 9 0 O z o x L C Z x d W 9 0 O 2 t l e U N v b H V t b k 5 h b W V z J n F 1 b 3 Q 7 O l s m c X V v d D s g T W 9 k d W x l I E 5 h b W U m c X V v d D t d L C Z x d W 9 0 O 3 F 1 Z X J 5 U m V s Y X R p b 2 5 z a G l w c y Z x d W 9 0 O z p b X S w m c X V v d D t j b 2 x 1 b W 5 J Z G V u d G l 0 a W V z J n F 1 b 3 Q 7 O l s m c X V v d D t T Z W N 0 a W 9 u M S 9 U Y W J s Z T M v Q 2 h h b m d l Z C B U e X B l L n s g T W 9 k d W x l I E 5 h b W U s M H 0 m c X V v d D t d L C Z x d W 9 0 O 0 N v b H V t b k N v d W 5 0 J n F 1 b 3 Q 7 O j E s J n F 1 b 3 Q 7 S 2 V 5 Q 2 9 s d W 1 u T m F t Z X M m c X V v d D s 6 W y Z x d W 9 0 O y B N b 2 R 1 b G U g T m F t Z S Z x d W 9 0 O 1 0 s J n F 1 b 3 Q 7 Q 2 9 s d W 1 u S W R l b n R p d G l l c y Z x d W 9 0 O z p b J n F 1 b 3 Q 7 U 2 V j d G l v b j E v V G F i b G U z L 0 N o Y W 5 n Z W Q g V H l w Z S 5 7 I E 1 v Z H V s Z S B O Y W 1 l 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1 J l b W 9 2 Z W Q l M j B E d X B s a W N h d G V z P C 9 J d G V t U G F 0 a D 4 8 L 0 l 0 Z W 1 M b 2 N h d G l v b j 4 8 U 3 R h Y m x l R W 5 0 c m l l c y A v P j w v S X R l b T 4 8 L 0 l 0 Z W 1 z P j w v T G 9 j Y W x Q Y W N r Y W d l T W V 0 Y W R h d G F G a W x l P h Y A A A B Q S w U G A A A A A A A A A A A A A A A A A A A A A A A A 2 g A A A A E A A A D Q j J 3 f A R X R E Y x 6 A M B P w p f r A Q A A A L c 3 f 2 q x w V B I h 2 7 Y K e 3 A 5 P U A A A A A A g A A A A A A A 2 Y A A M A A A A A Q A A A A K t U 1 3 t Q / H p j b 1 M P i e R Q e e w A A A A A E g A A A o A A A A B A A A A B V 3 n H I L g v H x I N u m 9 L g 6 g U + U A A A A A D c D Y q Y 0 B c 1 P q x D w J / z q Q h A B M B b z Z a F u 5 W V m P H X v M C c f I u 4 T 8 V W 1 e g 3 6 J G v m G t u c K i M A 6 h 4 o W T a C o O n d 3 j j C h + 4 m P J N Q E Q M q C 9 7 z k F x 1 S J 5 F A A A A F S u / D W l S g S g d 6 U V 9 / b a w O E w 1 x K P < / D a t a M a s h u p > 
</file>

<file path=customXml/item5.xml><?xml version="1.0" encoding="utf-8"?>
<p:properties xmlns:p="http://schemas.microsoft.com/office/2006/metadata/properties" xmlns:xsi="http://www.w3.org/2001/XMLSchema-instance" xmlns:pc="http://schemas.microsoft.com/office/infopath/2007/PartnerControls">
  <documentManagement>
    <_dlc_DocId xmlns="a03ac030-8fc0-429e-a59d-aec15056182b">3NAZ7T4E3CZ3-539361286-687</_dlc_DocId>
    <_dlc_DocIdUrl xmlns="a03ac030-8fc0-429e-a59d-aec15056182b">
      <Url>https://tgf.sharepoint.com/sites/TSA2F1/A2FD/_layouts/15/DocIdRedir.aspx?ID=3NAZ7T4E3CZ3-539361286-687</Url>
      <Description>3NAZ7T4E3CZ3-539361286-687</Description>
    </_dlc_DocIdUrl>
    <IconOverlay xmlns="http://schemas.microsoft.com/sharepoint/v4" xsi:nil="true"/>
  </documentManagement>
</p:properties>
</file>

<file path=customXml/itemProps1.xml><?xml version="1.0" encoding="utf-8"?>
<ds:datastoreItem xmlns:ds="http://schemas.openxmlformats.org/officeDocument/2006/customXml" ds:itemID="{1E4A77B7-EF83-4ED6-B26F-1B6FA60FAC33}">
  <ds:schemaRefs>
    <ds:schemaRef ds:uri="http://schemas.microsoft.com/sharepoint/v3/contenttype/forms"/>
  </ds:schemaRefs>
</ds:datastoreItem>
</file>

<file path=customXml/itemProps2.xml><?xml version="1.0" encoding="utf-8"?>
<ds:datastoreItem xmlns:ds="http://schemas.openxmlformats.org/officeDocument/2006/customXml" ds:itemID="{842C3852-59EA-40AB-873F-7DBBDFC063D4}">
  <ds:schemaRefs>
    <ds:schemaRef ds:uri="http://schemas.microsoft.com/sharepoint/events"/>
  </ds:schemaRefs>
</ds:datastoreItem>
</file>

<file path=customXml/itemProps3.xml><?xml version="1.0" encoding="utf-8"?>
<ds:datastoreItem xmlns:ds="http://schemas.openxmlformats.org/officeDocument/2006/customXml" ds:itemID="{C2B85C08-57A9-490B-BF9B-EA2F3CC17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sharepoint/v4"/>
    <ds:schemaRef ds:uri="2219519e-2df8-4e68-9bc8-47ece53c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47E82C-1B1D-4BF7-A18F-340FBCF3B26E}">
  <ds:schemaRefs>
    <ds:schemaRef ds:uri="http://schemas.microsoft.com/DataMashup"/>
  </ds:schemaRefs>
</ds:datastoreItem>
</file>

<file path=customXml/itemProps5.xml><?xml version="1.0" encoding="utf-8"?>
<ds:datastoreItem xmlns:ds="http://schemas.openxmlformats.org/officeDocument/2006/customXml" ds:itemID="{FAFD8EB1-C9E7-4E6B-80BE-7056C8FD86F9}">
  <ds:schemaRefs>
    <ds:schemaRef ds:uri="http://purl.org/dc/elements/1.1/"/>
    <ds:schemaRef ds:uri="http://schemas.microsoft.com/office/2006/metadata/properties"/>
    <ds:schemaRef ds:uri="http://schemas.openxmlformats.org/package/2006/metadata/core-properties"/>
    <ds:schemaRef ds:uri="http://schemas.microsoft.com/sharepoint/v4"/>
    <ds:schemaRef ds:uri="http://purl.org/dc/terms/"/>
    <ds:schemaRef ds:uri="http://purl.org/dc/dcmitype/"/>
    <ds:schemaRef ds:uri="http://schemas.microsoft.com/office/infopath/2007/PartnerControls"/>
    <ds:schemaRef ds:uri="http://schemas.microsoft.com/office/2006/documentManagement/types"/>
    <ds:schemaRef ds:uri="2219519e-2df8-4e68-9bc8-47ece53c639c"/>
    <ds:schemaRef ds:uri="a03ac030-8fc0-429e-a59d-aec15056182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128</vt:i4>
      </vt:variant>
    </vt:vector>
  </HeadingPairs>
  <TitlesOfParts>
    <vt:vector size="132" baseType="lpstr">
      <vt:lpstr>Instructions</vt:lpstr>
      <vt:lpstr>PAAR UPDATE</vt:lpstr>
      <vt:lpstr>Заявка PAAR СКК- Секв+БК+2G</vt:lpstr>
      <vt:lpstr>Previously-approved PAAR</vt:lpstr>
      <vt:lpstr>_02ad39f3_57e3_49df_801f_0b57a1bdfb84</vt:lpstr>
      <vt:lpstr>_02bdc5b6_f405_4455_84ca_aac645fac99a</vt:lpstr>
      <vt:lpstr>_04ef951b_83dc_454c_a580_d68bc3649c8f</vt:lpstr>
      <vt:lpstr>_0545eb13_c995_464b_b8dd_0e97683d3487</vt:lpstr>
      <vt:lpstr>_07cdb7f5_cc90_48f5_ba98_1b10e955b710</vt:lpstr>
      <vt:lpstr>_0aba1aad_a2db_4f91_bf15_fb17938568c4</vt:lpstr>
      <vt:lpstr>_0b156c7e_5d2f_4042_9bc9_55e6ef8d1f9e</vt:lpstr>
      <vt:lpstr>_100e0d0a_853d_42fd_ac33_2c0488ef7758</vt:lpstr>
      <vt:lpstr>_108f5ad8_7393_426d_9f7c_bae12068cdd8</vt:lpstr>
      <vt:lpstr>_11e51280_46f6_49b8_9413_4a58d3ff956b</vt:lpstr>
      <vt:lpstr>_1380a560_8917_4a6c_8643_5eaf67a107ec</vt:lpstr>
      <vt:lpstr>_15169a1d_6dee_4e01_a4ae_ce057e32583e</vt:lpstr>
      <vt:lpstr>_188d0fc7_aedf_4716_8099_512eed679ba2</vt:lpstr>
      <vt:lpstr>_1a6aa60f_83f5_4860_9796_3ffdcb722dbf</vt:lpstr>
      <vt:lpstr>_1d959eb1_25e0_459c_be70_75087b3e8e5c</vt:lpstr>
      <vt:lpstr>_1e83f210_e875_4af6_91e5_ac9c698a0120</vt:lpstr>
      <vt:lpstr>_200601b2_d857_4b7b_b9c8_b4b1dcfdbead</vt:lpstr>
      <vt:lpstr>_246c9ece_37cf_4f3d_bb58_d0705dabf0a1</vt:lpstr>
      <vt:lpstr>_289c0037_5b16_4880_9d93_e5e936bed1d1</vt:lpstr>
      <vt:lpstr>_2a721706_e90e_49c0_9b1b_9fe9a5604342</vt:lpstr>
      <vt:lpstr>_2ae3dd59_dc6c_4c4b_ade6_2ebeb2266db0</vt:lpstr>
      <vt:lpstr>_2d92d753_f6bf_4a5c_b057_9dc6f5816fb7</vt:lpstr>
      <vt:lpstr>_2dddad7c_920f_483c_8ae8_4807bb29d23c</vt:lpstr>
      <vt:lpstr>_2e0733e5_9f9a_4068_8140_d34067ae9602</vt:lpstr>
      <vt:lpstr>_2f6b97be_955e_4555_b176_24eda76d7f6e</vt:lpstr>
      <vt:lpstr>_30b766c5_e64e_40ec_bdaf_9d7859640839</vt:lpstr>
      <vt:lpstr>_36f9532d_a51f_4081_9b33_d12464ae83b3</vt:lpstr>
      <vt:lpstr>_37f5b219_b7be_4068_92cf_9912ba353f53</vt:lpstr>
      <vt:lpstr>_39458981_54f6_4afa_ad0b_1abb0155050c</vt:lpstr>
      <vt:lpstr>_3a17e598_913f_4164_9970_95748140b3f3</vt:lpstr>
      <vt:lpstr>_3bced8e2_f8b6_4fbd_833e_c9cd21a3bbd8</vt:lpstr>
      <vt:lpstr>_3ed08b87_0856_47c6_ac1b_a0f75fac0829</vt:lpstr>
      <vt:lpstr>_3fd2dad0_2e45_4582_9f0a_ecae4fdadda5</vt:lpstr>
      <vt:lpstr>_4165c931_ccea_48b3_b6b8_b79823fbb780</vt:lpstr>
      <vt:lpstr>_42f04d30_cada_454c_b1b6_632a2aba90a2</vt:lpstr>
      <vt:lpstr>_43011b08_5bec_4974_8f93_a93601785563</vt:lpstr>
      <vt:lpstr>_43f42dc0_b49b_49bb_adf2_ff4aa3aeb9af</vt:lpstr>
      <vt:lpstr>_4674e4d5_5bf9_49ef_89e0_66eecaf67bfc</vt:lpstr>
      <vt:lpstr>_47248bf4_333e_4cf5_ab12_1664f6307394</vt:lpstr>
      <vt:lpstr>_4a727fc1_5e00_4dd2_9a4e_d4dba8c0d0a9</vt:lpstr>
      <vt:lpstr>_4a840919_0905_4a1f_b4c7_fac45d99a9b3</vt:lpstr>
      <vt:lpstr>_4b24e5b2_178d_402d_ab3b_3e9651c49950</vt:lpstr>
      <vt:lpstr>_4b6deeee_22f4_4978_af46_2f3f3b997083</vt:lpstr>
      <vt:lpstr>_4bdaa627_e613_4884_884e_9af563e81977</vt:lpstr>
      <vt:lpstr>_4f08970c_42cb_4ebb_9187_2fcef9339c76</vt:lpstr>
      <vt:lpstr>_4fc3fe53_b70d_4dee_8a8f_66a3f0db60b5</vt:lpstr>
      <vt:lpstr>_4fcd4c75_0cb5_47e0_80dc_d4dc6d52d7ab</vt:lpstr>
      <vt:lpstr>_5013a811_34db_4302_a794_6cb432e51faa</vt:lpstr>
      <vt:lpstr>_514f35f9_1e87_4a11_ae79_17984f0da986</vt:lpstr>
      <vt:lpstr>_5af35f97_4d7e_4e31_a529_293afd51e986</vt:lpstr>
      <vt:lpstr>_5c2decfc_19a2_4428_8964_baa83343b66f</vt:lpstr>
      <vt:lpstr>_60f1fa00_ddc3_47b5_add8_ba82f0742fda</vt:lpstr>
      <vt:lpstr>_616a9b6c_adcb_465e_9d12_aece5062f9ff</vt:lpstr>
      <vt:lpstr>_63d4057e_27e2_4bb3_81b8_3580bd4ea6bb</vt:lpstr>
      <vt:lpstr>_6400defa_3aea_4fde_b8a0_4291fadead98</vt:lpstr>
      <vt:lpstr>_6a4d5129_3c60_4b5c_99fa_99f187281ae6</vt:lpstr>
      <vt:lpstr>_6b9feab1_8a4e_4def_b9ea_d11b120def49</vt:lpstr>
      <vt:lpstr>_6c64e49b_420c_49d6_91eb_6f53bed8c310</vt:lpstr>
      <vt:lpstr>_6edcd5c2_b1a7_435d_bc7e_c94e860cf9c1</vt:lpstr>
      <vt:lpstr>_6fab634e_ba2b_4907_88c0_020129f5d1d5</vt:lpstr>
      <vt:lpstr>_717cb255_4973_453d_b474_460dff8bc294</vt:lpstr>
      <vt:lpstr>_720d31b9_1eed_4b0b_9a73_79810b734349</vt:lpstr>
      <vt:lpstr>_735757ee_ca56_403a_ba6d_821953adfaa1</vt:lpstr>
      <vt:lpstr>_741fd775_1b0f_416a_83ee_9dcaf9e52ab0</vt:lpstr>
      <vt:lpstr>_750d0979_8201_4bdb_9f68_c45e23c8264f</vt:lpstr>
      <vt:lpstr>_76895d3d_8612_4598_992e_68a7a3b1bec0</vt:lpstr>
      <vt:lpstr>_77efa5dd_9430_4266_9106_060c94e3525f</vt:lpstr>
      <vt:lpstr>_7a562672_c8d1_41e4_bf25_f7d9bc7e9bf2</vt:lpstr>
      <vt:lpstr>_7dc9defe_4e0f_4960_a4cf_021864e4dc1e</vt:lpstr>
      <vt:lpstr>_7fe5b4be_0857_48d4_9b68_a20b705567da</vt:lpstr>
      <vt:lpstr>_83b4b2b1_91da_4273_bb28_92579fd58b98</vt:lpstr>
      <vt:lpstr>_84984d1d_8bf1_4813_b6d8_a3beceb5352e</vt:lpstr>
      <vt:lpstr>_84f4f1c9_46d9_4d50_a578_70a0e140218e</vt:lpstr>
      <vt:lpstr>_8668f1ea_7a98_4214_b9e4_bd9a35b01667</vt:lpstr>
      <vt:lpstr>_8a19c987_bb5e_4dd5_b228_3f858988819f</vt:lpstr>
      <vt:lpstr>_8a4875f0_12c9_4b27_9d65_fc9de4040357</vt:lpstr>
      <vt:lpstr>_918a627d_c186_4f72_bf4a_f212e91e3447</vt:lpstr>
      <vt:lpstr>_921188b5_7405_4616_9a10_f06390bbc5cb</vt:lpstr>
      <vt:lpstr>_94903140_df63_4838_b151_057f4b07305d</vt:lpstr>
      <vt:lpstr>_955d5dfa_899b_4044_bb68_9f852088faad</vt:lpstr>
      <vt:lpstr>_98683e66_00c0_4421_8d8e_08e5bd010020</vt:lpstr>
      <vt:lpstr>_98e9a85d_eea9_4a6f_9d7b_2208ff60b346</vt:lpstr>
      <vt:lpstr>_9b0aea09_c499_4d7e_a90a_f783e6dd513f</vt:lpstr>
      <vt:lpstr>_9b1a1afa_6ff0_4b63_99c7_81e1448db497</vt:lpstr>
      <vt:lpstr>_9b3115f5_cfe6_4bf4_9e68_fcae46eadcdc</vt:lpstr>
      <vt:lpstr>_9dca9c75_8637_4106_a7b1_ad0381862a53</vt:lpstr>
      <vt:lpstr>_9fab802b_0c12_4609_9f3c_8910b7c9e5c8</vt:lpstr>
      <vt:lpstr>_a43baf49_2cab_47a7_942c_32e23098d58a</vt:lpstr>
      <vt:lpstr>_a675865b_d1cf_41a8_b436_12dfc45ca429</vt:lpstr>
      <vt:lpstr>_ae238f09_06b7_4710_962a_a5f6a9de8456</vt:lpstr>
      <vt:lpstr>_b08a4c41_6e06_41b4_8de7_d7d4c4a5b0d0</vt:lpstr>
      <vt:lpstr>_b38a91dd_21e5_477d_8fa2_6dc4a4571988</vt:lpstr>
      <vt:lpstr>_b49f5148_45f2_4444_969f_cb60a476e6aa</vt:lpstr>
      <vt:lpstr>_b6ad26c4_c22b_486c_a0d2_48db1684e9a9</vt:lpstr>
      <vt:lpstr>_b6c384da_2b85_434d_aeaa_fc47355d751b</vt:lpstr>
      <vt:lpstr>_bd1a71fb_21a6_4736_8941_5128f28a0c38</vt:lpstr>
      <vt:lpstr>_bd1abbce_c068_4c81_9587_6cb91d40b759</vt:lpstr>
      <vt:lpstr>_c33428e4_6095_46db_b4fd_df3facaf1c60</vt:lpstr>
      <vt:lpstr>_c42e2362_c27a_4990_84c5_bf06079e3898</vt:lpstr>
      <vt:lpstr>_c4b1b70f_1237_4bc6_aac4_6ff4977dfc62</vt:lpstr>
      <vt:lpstr>_c9664df9_e97a_4318_86a8_6d4750051178</vt:lpstr>
      <vt:lpstr>_d60c1176_8250_4608_ba63_a3aa2999088d</vt:lpstr>
      <vt:lpstr>_d63421ee_7ebb_4124_8330_e547bc2c5c23</vt:lpstr>
      <vt:lpstr>_de3967e1_2b2e_451c_abbe_d2298ae10aba</vt:lpstr>
      <vt:lpstr>_e25ecbd0_9feb_4e3e_9eba_16e28d17c524</vt:lpstr>
      <vt:lpstr>_e61f5e65_2380_4c24_a2fc_986f3a3bdaa3</vt:lpstr>
      <vt:lpstr>_e7531f29_fe42_42f2_b46f_bfe48c63b6bb</vt:lpstr>
      <vt:lpstr>_f09abc7b_086f_41b9_8092_d1eb44292a7c</vt:lpstr>
      <vt:lpstr>_f286ecd9_5053_4e73_b002_325ea2e11a14</vt:lpstr>
      <vt:lpstr>_f2dae54b_472d_4b49_a275_1f8b06473771</vt:lpstr>
      <vt:lpstr>_f6b2f159_6c81_4d6a_82a6_2d671899269c</vt:lpstr>
      <vt:lpstr>_fcb0a822_ddff_4280_a0bf_4334a6e3465f</vt:lpstr>
      <vt:lpstr>_fd0e959c_055e_445a_a66e_e32084dd253f</vt:lpstr>
      <vt:lpstr>_fdf7b301_6e00_4693_8bcf_9ec7adc9c251</vt:lpstr>
      <vt:lpstr>_ffcb7369_0e6a_488d_b74d_d05766e525a6</vt:lpstr>
      <vt:lpstr>AIM_Allocation_Cycle__c.AIM_Status__c</vt:lpstr>
      <vt:lpstr>AIM_Funding_Request__c.AIM_Funding_Request_Currency__c</vt:lpstr>
      <vt:lpstr>AIM_Funding_Request__c.AIM_TRP_Review_Outcome__c</vt:lpstr>
      <vt:lpstr>L1FR_PAAR_UQD_Intervention__c.L1FR_Applicant_Priority_Rating__c</vt:lpstr>
      <vt:lpstr>L1FR_PAAR_UQD_Intervention__c.L1FR_Status__c</vt:lpstr>
      <vt:lpstr>L1FR_PAAR_UQD_Intervention__c.L1FR_TRP_Priority__c</vt:lpstr>
      <vt:lpstr>PICKLISTKEYVALUEPAIR</vt:lpstr>
      <vt:lpstr>XAuthorInvalidPicklistData</vt:lpstr>
      <vt:lpstr>Modules!Извлечь</vt:lpstr>
      <vt:lpstr>'Add Info-Info Supp-Info Ad'!Область_печати</vt:lpstr>
      <vt:lpstr>'Additional Info (EN)'!Область_печати</vt:lpstr>
      <vt:lpstr>'PAAR (EN)'!Область_печати</vt:lpstr>
      <vt:lpstr>'PAAR UPDATE'!Область_печати</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Shreya Gurubacharya</dc:creator>
  <cp:lastModifiedBy>Пользователь</cp:lastModifiedBy>
  <dcterms:created xsi:type="dcterms:W3CDTF">2018-07-31T08:09:43Z</dcterms:created>
  <dcterms:modified xsi:type="dcterms:W3CDTF">2021-12-20T07:34:32Z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0x010100DB1926E75FE6D448A94BA4FC7E9CAC0400EB82F3FDC0493647B521A7A424B5B012</vt:lpwstr>
  </property>
  <property fmtid="{D5CDD505-2E9C-101B-9397-08002B2CF9AE}" pid="3" name="_dlc_DocIdItemGuid">
    <vt:lpwstr>3d58d2e6-eb8c-4acb-b525-aebf403bbe8f</vt:lpwstr>
  </property>
  <property fmtid="{D5CDD505-2E9C-101B-9397-08002B2CF9AE}" pid="4" name="AuthorIds_UIVersion_3584">
    <vt:lpwstr>174</vt:lpwstr>
  </property>
  <property fmtid="{D5CDD505-2E9C-101B-9397-08002B2CF9AE}" pid="5" name="APPBUILDER_RUNTIME_FILE">
    <vt:lpwstr>true</vt:lpwstr>
  </property>
</Properties>
</file>